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tair\Documents\My docs Aug 2020\Documents\Documents\1a Thirlmere\"/>
    </mc:Choice>
  </mc:AlternateContent>
  <xr:revisionPtr revIDLastSave="0" documentId="13_ncr:1_{8A64FB25-5F50-4E3F-A8BC-423EC5E71A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C43" i="1" s="1"/>
  <c r="D43" i="1" s="1"/>
  <c r="B13" i="1"/>
  <c r="K43" i="1" l="1"/>
  <c r="L43" i="1" s="1"/>
  <c r="G43" i="1"/>
  <c r="H43" i="1" s="1"/>
  <c r="O43" i="1"/>
  <c r="I43" i="1"/>
  <c r="J43" i="1" s="1"/>
  <c r="E43" i="1"/>
  <c r="F43" i="1" s="1"/>
  <c r="O14" i="1"/>
  <c r="O13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K42" i="1"/>
  <c r="L42" i="1" s="1"/>
  <c r="B12" i="1"/>
  <c r="G12" i="1" s="1"/>
  <c r="H12" i="1" s="1"/>
  <c r="G42" i="1"/>
  <c r="H42" i="1" s="1"/>
  <c r="M43" i="1" l="1"/>
  <c r="N43" i="1" s="1"/>
  <c r="O12" i="1"/>
  <c r="O42" i="1"/>
  <c r="C42" i="1"/>
  <c r="D42" i="1" s="1"/>
  <c r="K13" i="1"/>
  <c r="L13" i="1" s="1"/>
  <c r="E42" i="1"/>
  <c r="F42" i="1" s="1"/>
  <c r="I42" i="1"/>
  <c r="J42" i="1" s="1"/>
  <c r="K12" i="1"/>
  <c r="L12" i="1" s="1"/>
  <c r="I12" i="1"/>
  <c r="J12" i="1" s="1"/>
  <c r="E12" i="1"/>
  <c r="F12" i="1" s="1"/>
  <c r="I13" i="1"/>
  <c r="J13" i="1" s="1"/>
  <c r="E13" i="1"/>
  <c r="F13" i="1" s="1"/>
  <c r="G13" i="1"/>
  <c r="H13" i="1" s="1"/>
  <c r="C13" i="1"/>
  <c r="D13" i="1" s="1"/>
  <c r="G14" i="1"/>
  <c r="H14" i="1" s="1"/>
  <c r="C12" i="1"/>
  <c r="M42" i="1" l="1"/>
  <c r="N42" i="1" s="1"/>
  <c r="D12" i="1"/>
  <c r="M12" i="1" s="1"/>
  <c r="N12" i="1" s="1"/>
  <c r="C14" i="1"/>
  <c r="D14" i="1" s="1"/>
  <c r="K14" i="1"/>
  <c r="L14" i="1" s="1"/>
  <c r="E14" i="1"/>
  <c r="F14" i="1" s="1"/>
  <c r="M13" i="1"/>
  <c r="N13" i="1" s="1"/>
  <c r="I14" i="1"/>
  <c r="J14" i="1" s="1"/>
  <c r="C15" i="1"/>
  <c r="D15" i="1" s="1"/>
  <c r="G15" i="1"/>
  <c r="H15" i="1" s="1"/>
  <c r="E15" i="1"/>
  <c r="F15" i="1" s="1"/>
  <c r="I15" i="1"/>
  <c r="J15" i="1" s="1"/>
  <c r="K15" i="1"/>
  <c r="L15" i="1" s="1"/>
  <c r="M14" i="1" l="1"/>
  <c r="N14" i="1" s="1"/>
  <c r="M15" i="1"/>
  <c r="N15" i="1" s="1"/>
  <c r="C16" i="1"/>
  <c r="D16" i="1" s="1"/>
  <c r="K16" i="1"/>
  <c r="L16" i="1" s="1"/>
  <c r="E16" i="1"/>
  <c r="F16" i="1" s="1"/>
  <c r="G16" i="1"/>
  <c r="H16" i="1" s="1"/>
  <c r="I16" i="1"/>
  <c r="J16" i="1" s="1"/>
  <c r="M16" i="1" l="1"/>
  <c r="N16" i="1" s="1"/>
  <c r="E17" i="1"/>
  <c r="F17" i="1" s="1"/>
  <c r="I17" i="1"/>
  <c r="J17" i="1" s="1"/>
  <c r="C17" i="1"/>
  <c r="D17" i="1" s="1"/>
  <c r="G17" i="1"/>
  <c r="H17" i="1" s="1"/>
  <c r="K17" i="1"/>
  <c r="L17" i="1" s="1"/>
  <c r="K18" i="1" l="1"/>
  <c r="L18" i="1" s="1"/>
  <c r="C18" i="1"/>
  <c r="D18" i="1" s="1"/>
  <c r="I18" i="1"/>
  <c r="J18" i="1" s="1"/>
  <c r="E18" i="1"/>
  <c r="F18" i="1" s="1"/>
  <c r="G18" i="1"/>
  <c r="H18" i="1" s="1"/>
  <c r="M17" i="1"/>
  <c r="N17" i="1" s="1"/>
  <c r="M18" i="1" l="1"/>
  <c r="N18" i="1" s="1"/>
  <c r="C19" i="1"/>
  <c r="D19" i="1" s="1"/>
  <c r="G19" i="1"/>
  <c r="H19" i="1" s="1"/>
  <c r="E19" i="1"/>
  <c r="F19" i="1" s="1"/>
  <c r="I19" i="1"/>
  <c r="J19" i="1" s="1"/>
  <c r="K19" i="1"/>
  <c r="L19" i="1" s="1"/>
  <c r="C20" i="1" l="1"/>
  <c r="D20" i="1" s="1"/>
  <c r="K20" i="1"/>
  <c r="L20" i="1" s="1"/>
  <c r="E20" i="1"/>
  <c r="F20" i="1" s="1"/>
  <c r="G20" i="1"/>
  <c r="H20" i="1" s="1"/>
  <c r="I20" i="1"/>
  <c r="J20" i="1" s="1"/>
  <c r="M19" i="1"/>
  <c r="N19" i="1" s="1"/>
  <c r="M20" i="1" l="1"/>
  <c r="N20" i="1" s="1"/>
  <c r="E21" i="1"/>
  <c r="F21" i="1" s="1"/>
  <c r="I21" i="1"/>
  <c r="J21" i="1" s="1"/>
  <c r="C21" i="1"/>
  <c r="D21" i="1" s="1"/>
  <c r="G21" i="1"/>
  <c r="H21" i="1" s="1"/>
  <c r="K21" i="1"/>
  <c r="L21" i="1" s="1"/>
  <c r="M21" i="1" l="1"/>
  <c r="N21" i="1" s="1"/>
  <c r="K22" i="1"/>
  <c r="L22" i="1" s="1"/>
  <c r="C22" i="1"/>
  <c r="D22" i="1" s="1"/>
  <c r="I22" i="1"/>
  <c r="J22" i="1" s="1"/>
  <c r="E22" i="1"/>
  <c r="F22" i="1" s="1"/>
  <c r="G22" i="1"/>
  <c r="H22" i="1" s="1"/>
  <c r="M22" i="1" l="1"/>
  <c r="N22" i="1" s="1"/>
  <c r="C23" i="1"/>
  <c r="D23" i="1" s="1"/>
  <c r="G23" i="1"/>
  <c r="H23" i="1" s="1"/>
  <c r="E23" i="1"/>
  <c r="F23" i="1" s="1"/>
  <c r="I23" i="1"/>
  <c r="J23" i="1" s="1"/>
  <c r="K23" i="1"/>
  <c r="L23" i="1" s="1"/>
  <c r="M23" i="1" l="1"/>
  <c r="N23" i="1" s="1"/>
  <c r="C24" i="1"/>
  <c r="D24" i="1" s="1"/>
  <c r="K24" i="1"/>
  <c r="L24" i="1" s="1"/>
  <c r="E24" i="1"/>
  <c r="F24" i="1" s="1"/>
  <c r="G24" i="1"/>
  <c r="H24" i="1" s="1"/>
  <c r="I24" i="1"/>
  <c r="J24" i="1" s="1"/>
  <c r="E25" i="1" l="1"/>
  <c r="F25" i="1" s="1"/>
  <c r="I25" i="1"/>
  <c r="J25" i="1" s="1"/>
  <c r="C25" i="1"/>
  <c r="D25" i="1" s="1"/>
  <c r="G25" i="1"/>
  <c r="H25" i="1" s="1"/>
  <c r="K25" i="1"/>
  <c r="L25" i="1" s="1"/>
  <c r="M24" i="1"/>
  <c r="N24" i="1" s="1"/>
  <c r="K26" i="1" l="1"/>
  <c r="L26" i="1" s="1"/>
  <c r="C26" i="1"/>
  <c r="D26" i="1" s="1"/>
  <c r="I26" i="1"/>
  <c r="J26" i="1" s="1"/>
  <c r="E26" i="1"/>
  <c r="F26" i="1" s="1"/>
  <c r="G26" i="1"/>
  <c r="H26" i="1" s="1"/>
  <c r="M25" i="1"/>
  <c r="N25" i="1" s="1"/>
  <c r="C27" i="1" l="1"/>
  <c r="D27" i="1" s="1"/>
  <c r="G27" i="1"/>
  <c r="H27" i="1" s="1"/>
  <c r="E27" i="1"/>
  <c r="F27" i="1" s="1"/>
  <c r="I27" i="1"/>
  <c r="J27" i="1" s="1"/>
  <c r="K27" i="1"/>
  <c r="L27" i="1" s="1"/>
  <c r="M26" i="1"/>
  <c r="N26" i="1" s="1"/>
  <c r="M27" i="1" l="1"/>
  <c r="N27" i="1" s="1"/>
  <c r="C28" i="1"/>
  <c r="D28" i="1" s="1"/>
  <c r="K28" i="1"/>
  <c r="L28" i="1" s="1"/>
  <c r="E28" i="1"/>
  <c r="F28" i="1" s="1"/>
  <c r="G28" i="1"/>
  <c r="H28" i="1" s="1"/>
  <c r="I28" i="1"/>
  <c r="J28" i="1" s="1"/>
  <c r="M28" i="1" l="1"/>
  <c r="N28" i="1" s="1"/>
  <c r="E29" i="1"/>
  <c r="F29" i="1" s="1"/>
  <c r="I29" i="1"/>
  <c r="J29" i="1" s="1"/>
  <c r="C29" i="1"/>
  <c r="D29" i="1" s="1"/>
  <c r="G29" i="1"/>
  <c r="H29" i="1" s="1"/>
  <c r="K29" i="1"/>
  <c r="L29" i="1" s="1"/>
  <c r="M29" i="1" l="1"/>
  <c r="N29" i="1" s="1"/>
  <c r="K30" i="1"/>
  <c r="L30" i="1" s="1"/>
  <c r="C30" i="1"/>
  <c r="D30" i="1" s="1"/>
  <c r="I30" i="1"/>
  <c r="J30" i="1" s="1"/>
  <c r="E30" i="1"/>
  <c r="F30" i="1" s="1"/>
  <c r="G30" i="1"/>
  <c r="H30" i="1" s="1"/>
  <c r="M30" i="1" l="1"/>
  <c r="N30" i="1" s="1"/>
  <c r="C31" i="1"/>
  <c r="D31" i="1" s="1"/>
  <c r="G31" i="1"/>
  <c r="H31" i="1" s="1"/>
  <c r="E31" i="1"/>
  <c r="F31" i="1" s="1"/>
  <c r="I31" i="1"/>
  <c r="J31" i="1" s="1"/>
  <c r="K31" i="1"/>
  <c r="L31" i="1" s="1"/>
  <c r="M31" i="1" l="1"/>
  <c r="N31" i="1" s="1"/>
  <c r="C32" i="1"/>
  <c r="D32" i="1" s="1"/>
  <c r="K32" i="1"/>
  <c r="L32" i="1" s="1"/>
  <c r="E32" i="1"/>
  <c r="F32" i="1" s="1"/>
  <c r="G32" i="1"/>
  <c r="H32" i="1" s="1"/>
  <c r="I32" i="1"/>
  <c r="J32" i="1" s="1"/>
  <c r="E33" i="1" l="1"/>
  <c r="F33" i="1" s="1"/>
  <c r="I33" i="1"/>
  <c r="J33" i="1" s="1"/>
  <c r="C33" i="1"/>
  <c r="D33" i="1" s="1"/>
  <c r="G33" i="1"/>
  <c r="H33" i="1" s="1"/>
  <c r="K33" i="1"/>
  <c r="L33" i="1" s="1"/>
  <c r="M32" i="1"/>
  <c r="N32" i="1" s="1"/>
  <c r="M33" i="1" l="1"/>
  <c r="N33" i="1" s="1"/>
  <c r="K34" i="1"/>
  <c r="L34" i="1" s="1"/>
  <c r="C34" i="1"/>
  <c r="D34" i="1" s="1"/>
  <c r="I34" i="1"/>
  <c r="J34" i="1" s="1"/>
  <c r="E34" i="1"/>
  <c r="F34" i="1" s="1"/>
  <c r="G34" i="1"/>
  <c r="H34" i="1" s="1"/>
  <c r="C35" i="1" l="1"/>
  <c r="D35" i="1" s="1"/>
  <c r="G35" i="1"/>
  <c r="H35" i="1" s="1"/>
  <c r="E35" i="1"/>
  <c r="F35" i="1" s="1"/>
  <c r="I35" i="1"/>
  <c r="J35" i="1" s="1"/>
  <c r="K35" i="1"/>
  <c r="L35" i="1" s="1"/>
  <c r="M34" i="1"/>
  <c r="N34" i="1" s="1"/>
  <c r="M35" i="1" l="1"/>
  <c r="N35" i="1" s="1"/>
  <c r="C36" i="1"/>
  <c r="D36" i="1" s="1"/>
  <c r="K36" i="1"/>
  <c r="L36" i="1" s="1"/>
  <c r="E36" i="1"/>
  <c r="F36" i="1" s="1"/>
  <c r="G36" i="1"/>
  <c r="H36" i="1" s="1"/>
  <c r="I36" i="1"/>
  <c r="J36" i="1" s="1"/>
  <c r="M36" i="1" l="1"/>
  <c r="N36" i="1" s="1"/>
  <c r="E37" i="1"/>
  <c r="F37" i="1" s="1"/>
  <c r="I37" i="1"/>
  <c r="J37" i="1" s="1"/>
  <c r="C37" i="1"/>
  <c r="D37" i="1" s="1"/>
  <c r="G37" i="1"/>
  <c r="H37" i="1" s="1"/>
  <c r="K37" i="1"/>
  <c r="L37" i="1" s="1"/>
  <c r="K38" i="1" l="1"/>
  <c r="L38" i="1" s="1"/>
  <c r="C38" i="1"/>
  <c r="D38" i="1" s="1"/>
  <c r="I38" i="1"/>
  <c r="J38" i="1" s="1"/>
  <c r="E38" i="1"/>
  <c r="F38" i="1" s="1"/>
  <c r="G38" i="1"/>
  <c r="H38" i="1" s="1"/>
  <c r="M37" i="1"/>
  <c r="N37" i="1" s="1"/>
  <c r="M38" i="1" l="1"/>
  <c r="N38" i="1" s="1"/>
  <c r="C39" i="1"/>
  <c r="D39" i="1" s="1"/>
  <c r="G39" i="1"/>
  <c r="H39" i="1" s="1"/>
  <c r="E39" i="1"/>
  <c r="F39" i="1" s="1"/>
  <c r="I39" i="1"/>
  <c r="J39" i="1" s="1"/>
  <c r="K39" i="1"/>
  <c r="L39" i="1" s="1"/>
  <c r="M39" i="1" l="1"/>
  <c r="N39" i="1" s="1"/>
  <c r="C40" i="1"/>
  <c r="D40" i="1" s="1"/>
  <c r="K40" i="1"/>
  <c r="L40" i="1" s="1"/>
  <c r="E40" i="1"/>
  <c r="F40" i="1" s="1"/>
  <c r="G40" i="1"/>
  <c r="H40" i="1" s="1"/>
  <c r="I40" i="1"/>
  <c r="J40" i="1" s="1"/>
  <c r="M40" i="1" l="1"/>
  <c r="N40" i="1" s="1"/>
  <c r="E41" i="1"/>
  <c r="F41" i="1" s="1"/>
  <c r="I41" i="1"/>
  <c r="J41" i="1" s="1"/>
  <c r="C41" i="1"/>
  <c r="D41" i="1" s="1"/>
  <c r="G41" i="1"/>
  <c r="H41" i="1" s="1"/>
  <c r="K41" i="1"/>
  <c r="L41" i="1" s="1"/>
  <c r="M41" i="1" l="1"/>
  <c r="N41" i="1" s="1"/>
</calcChain>
</file>

<file path=xl/sharedStrings.xml><?xml version="1.0" encoding="utf-8"?>
<sst xmlns="http://schemas.openxmlformats.org/spreadsheetml/2006/main" count="54" uniqueCount="40">
  <si>
    <t>𝑄=𝐶𝑑√𝑔𝐵𝐻1.5</t>
  </si>
  <si>
    <t>Cd</t>
  </si>
  <si>
    <t>Ht above weir</t>
  </si>
  <si>
    <t>CRM Model Flow</t>
  </si>
  <si>
    <t>Weir Ht condition</t>
  </si>
  <si>
    <t>√𝑔</t>
  </si>
  <si>
    <t>weir width B m. (UU/Jacobs)</t>
  </si>
  <si>
    <t>Wall weir width (UU/Jacobs)</t>
  </si>
  <si>
    <t>Ht above</t>
  </si>
  <si>
    <t>wave wall</t>
  </si>
  <si>
    <t>Wall</t>
  </si>
  <si>
    <t>Spill</t>
  </si>
  <si>
    <t>Warnings</t>
  </si>
  <si>
    <r>
      <t>Sp= 9.3988*Ht</t>
    </r>
    <r>
      <rPr>
        <sz val="9"/>
        <color theme="1"/>
        <rFont val="Calibri"/>
        <family val="2"/>
      </rPr>
      <t>²+3.7465*Ht+73.15</t>
    </r>
  </si>
  <si>
    <r>
      <t>Sp= -0.3138*Ht</t>
    </r>
    <r>
      <rPr>
        <sz val="9"/>
        <color theme="1"/>
        <rFont val="Calibri"/>
        <family val="2"/>
      </rPr>
      <t>²+7.3222*Ht+102.35</t>
    </r>
  </si>
  <si>
    <t>"If" logic</t>
  </si>
  <si>
    <t>Ht above Wave Wall</t>
  </si>
  <si>
    <t>transition zone</t>
  </si>
  <si>
    <t>Reservoir Water Levels</t>
  </si>
  <si>
    <r>
      <rPr>
        <sz val="22"/>
        <color theme="1"/>
        <rFont val="Calibri"/>
        <family val="2"/>
        <scheme val="minor"/>
      </rPr>
      <t>KFAG</t>
    </r>
    <r>
      <rPr>
        <sz val="16"/>
        <color theme="1"/>
        <rFont val="Calibri"/>
        <family val="2"/>
        <scheme val="minor"/>
      </rPr>
      <t xml:space="preserve"> Keswick Flood Action Group </t>
    </r>
  </si>
  <si>
    <t>Thirlmere Reservoir Spill Discharge Calculation Sheet</t>
  </si>
  <si>
    <t xml:space="preserve">Applied </t>
  </si>
  <si>
    <t>Equations</t>
  </si>
  <si>
    <t>Ml/Day</t>
  </si>
  <si>
    <t>Type in Res Height</t>
  </si>
  <si>
    <t>Here</t>
  </si>
  <si>
    <t>Read results Here</t>
  </si>
  <si>
    <r>
      <t>Total     Spill m</t>
    </r>
    <r>
      <rPr>
        <b/>
        <sz val="11"/>
        <color theme="1"/>
        <rFont val="Calibri"/>
        <family val="2"/>
      </rPr>
      <t>³/s</t>
    </r>
  </si>
  <si>
    <t>Transition equation 1</t>
  </si>
  <si>
    <t>Transition equation 2</t>
  </si>
  <si>
    <t>Transition equation 3</t>
  </si>
  <si>
    <t>Wave wall spilling equation</t>
  </si>
  <si>
    <r>
      <t>Wall Spill m</t>
    </r>
    <r>
      <rPr>
        <sz val="11"/>
        <color theme="1"/>
        <rFont val="Calibri"/>
        <family val="2"/>
      </rPr>
      <t>³</t>
    </r>
  </si>
  <si>
    <r>
      <t>Spill - Sp       m</t>
    </r>
    <r>
      <rPr>
        <sz val="11"/>
        <color theme="1"/>
        <rFont val="Calibri"/>
        <family val="2"/>
      </rPr>
      <t>³</t>
    </r>
  </si>
  <si>
    <r>
      <t>Spill - Sp           m</t>
    </r>
    <r>
      <rPr>
        <sz val="11"/>
        <color theme="1"/>
        <rFont val="Calibri"/>
        <family val="2"/>
      </rPr>
      <t>³</t>
    </r>
  </si>
  <si>
    <r>
      <t>Spill - Sp              m</t>
    </r>
    <r>
      <rPr>
        <sz val="11"/>
        <color theme="1"/>
        <rFont val="Calibri"/>
        <family val="2"/>
      </rPr>
      <t>³</t>
    </r>
  </si>
  <si>
    <t>Al Cook November 2017 - revised Oct 2020</t>
  </si>
  <si>
    <r>
      <t>Sp= 149.89*Ht</t>
    </r>
    <r>
      <rPr>
        <sz val="9"/>
        <color theme="1"/>
        <rFont val="Calibri"/>
        <family val="2"/>
      </rPr>
      <t>²-328.01*Ht+264.73</t>
    </r>
  </si>
  <si>
    <t>additional spilling over wall</t>
  </si>
  <si>
    <r>
      <t xml:space="preserve">This study and demonstration based on evidence and data made available to KFAG in 2017                      </t>
    </r>
    <r>
      <rPr>
        <sz val="8"/>
        <color theme="1"/>
        <rFont val="Calibri"/>
        <family val="2"/>
      </rPr>
      <t>©KFAG 2020</t>
    </r>
    <r>
      <rPr>
        <sz val="8"/>
        <color theme="1"/>
        <rFont val="Calibri"/>
        <family val="2"/>
        <scheme val="minor"/>
      </rPr>
      <t xml:space="preserve">         n.b no external pier review received to 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</si>
</sst>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6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2" fontId="0" fillId="0" borderId="9" xfId="0" applyNumberFormat="1" applyBorder="1"/>
    <xf numFmtId="2" fontId="0" fillId="0" borderId="12" xfId="0" applyNumberFormat="1" applyBorder="1"/>
    <xf numFmtId="2" fontId="0" fillId="0" borderId="0" xfId="0" applyNumberFormat="1"/>
    <xf numFmtId="0" fontId="0" fillId="0" borderId="5" xfId="0" applyBorder="1"/>
    <xf numFmtId="2" fontId="0" fillId="0" borderId="7" xfId="0" applyNumberFormat="1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right"/>
    </xf>
    <xf numFmtId="0" fontId="3" fillId="0" borderId="8" xfId="0" applyFont="1" applyBorder="1"/>
    <xf numFmtId="0" fontId="0" fillId="0" borderId="8" xfId="0" applyBorder="1" applyAlignment="1">
      <alignment horizontal="right" wrapText="1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" xfId="0" applyBorder="1"/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right" wrapText="1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/>
    </xf>
    <xf numFmtId="0" fontId="9" fillId="0" borderId="3" xfId="0" applyFont="1" applyBorder="1"/>
    <xf numFmtId="2" fontId="0" fillId="0" borderId="3" xfId="0" applyNumberFormat="1" applyBorder="1"/>
    <xf numFmtId="0" fontId="6" fillId="0" borderId="2" xfId="0" applyFont="1" applyBorder="1" applyAlignment="1">
      <alignment wrapText="1"/>
    </xf>
    <xf numFmtId="2" fontId="0" fillId="0" borderId="13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0" fillId="0" borderId="6" xfId="0" applyNumberFormat="1" applyBorder="1"/>
    <xf numFmtId="0" fontId="1" fillId="0" borderId="7" xfId="0" applyFont="1" applyBorder="1"/>
    <xf numFmtId="0" fontId="0" fillId="3" borderId="8" xfId="0" applyFill="1" applyBorder="1"/>
    <xf numFmtId="0" fontId="0" fillId="3" borderId="17" xfId="0" applyFill="1" applyBorder="1"/>
    <xf numFmtId="0" fontId="0" fillId="0" borderId="18" xfId="0" applyBorder="1"/>
    <xf numFmtId="0" fontId="0" fillId="2" borderId="8" xfId="0" applyFill="1" applyBorder="1"/>
    <xf numFmtId="0" fontId="0" fillId="4" borderId="8" xfId="0" applyFill="1" applyBorder="1"/>
    <xf numFmtId="0" fontId="0" fillId="4" borderId="10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0" borderId="20" xfId="0" applyNumberFormat="1" applyBorder="1"/>
    <xf numFmtId="2" fontId="0" fillId="0" borderId="21" xfId="0" applyNumberFormat="1" applyBorder="1"/>
    <xf numFmtId="1" fontId="2" fillId="0" borderId="19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22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  <xf numFmtId="0" fontId="10" fillId="2" borderId="2" xfId="0" applyFont="1" applyFill="1" applyBorder="1"/>
    <xf numFmtId="0" fontId="10" fillId="2" borderId="4" xfId="0" applyFont="1" applyFill="1" applyBorder="1"/>
    <xf numFmtId="0" fontId="10" fillId="2" borderId="3" xfId="0" applyFont="1" applyFill="1" applyBorder="1"/>
    <xf numFmtId="2" fontId="10" fillId="2" borderId="4" xfId="0" applyNumberFormat="1" applyFont="1" applyFill="1" applyBorder="1"/>
    <xf numFmtId="2" fontId="10" fillId="2" borderId="3" xfId="0" applyNumberFormat="1" applyFont="1" applyFill="1" applyBorder="1"/>
    <xf numFmtId="164" fontId="11" fillId="2" borderId="2" xfId="0" applyNumberFormat="1" applyFont="1" applyFill="1" applyBorder="1" applyAlignment="1">
      <alignment horizontal="center"/>
    </xf>
    <xf numFmtId="1" fontId="11" fillId="2" borderId="23" xfId="0" applyNumberFormat="1" applyFont="1" applyFill="1" applyBorder="1" applyAlignment="1">
      <alignment horizontal="center"/>
    </xf>
    <xf numFmtId="0" fontId="0" fillId="2" borderId="9" xfId="0" applyFill="1" applyBorder="1"/>
    <xf numFmtId="0" fontId="2" fillId="0" borderId="2" xfId="0" applyFont="1" applyBorder="1" applyAlignment="1">
      <alignment horizontal="center" vertical="center" wrapText="1"/>
    </xf>
    <xf numFmtId="0" fontId="0" fillId="2" borderId="2" xfId="0" applyFill="1" applyBorder="1"/>
    <xf numFmtId="0" fontId="0" fillId="2" borderId="4" xfId="0" applyFill="1" applyBorder="1"/>
    <xf numFmtId="0" fontId="0" fillId="0" borderId="0" xfId="0" applyBorder="1"/>
    <xf numFmtId="2" fontId="0" fillId="0" borderId="3" xfId="0" applyNumberForma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0" fillId="0" borderId="13" xfId="0" applyBorder="1"/>
    <xf numFmtId="2" fontId="0" fillId="0" borderId="0" xfId="0" applyNumberFormat="1" applyBorder="1"/>
    <xf numFmtId="1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0" fillId="0" borderId="10" xfId="0" applyNumberFormat="1" applyBorder="1"/>
    <xf numFmtId="0" fontId="1" fillId="0" borderId="9" xfId="0" applyFont="1" applyBorder="1"/>
    <xf numFmtId="0" fontId="1" fillId="0" borderId="26" xfId="0" applyFont="1" applyBorder="1"/>
    <xf numFmtId="0" fontId="7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579845721923321"/>
          <c:y val="0.10162873476431884"/>
          <c:w val="0.70277578505625415"/>
          <c:h val="0.78461854368660533"/>
        </c:manualLayout>
      </c:layout>
      <c:scatterChart>
        <c:scatterStyle val="lineMarker"/>
        <c:varyColors val="0"/>
        <c:ser>
          <c:idx val="0"/>
          <c:order val="0"/>
          <c:tx>
            <c:v>CRM Model data</c:v>
          </c:tx>
          <c:marker>
            <c:symbol val="none"/>
          </c:marker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xVal>
            <c:numRef>
              <c:f>Sheet1!$B$53:$B$71</c:f>
              <c:numCache>
                <c:formatCode>General</c:formatCode>
                <c:ptCount val="19"/>
                <c:pt idx="0">
                  <c:v>0</c:v>
                </c:pt>
                <c:pt idx="1">
                  <c:v>3.8</c:v>
                </c:pt>
                <c:pt idx="2">
                  <c:v>9.5</c:v>
                </c:pt>
                <c:pt idx="3">
                  <c:v>19.3</c:v>
                </c:pt>
                <c:pt idx="4">
                  <c:v>22.2</c:v>
                </c:pt>
                <c:pt idx="5">
                  <c:v>31.2</c:v>
                </c:pt>
                <c:pt idx="6">
                  <c:v>39.6</c:v>
                </c:pt>
                <c:pt idx="7">
                  <c:v>59.1</c:v>
                </c:pt>
                <c:pt idx="8">
                  <c:v>70.7</c:v>
                </c:pt>
                <c:pt idx="9">
                  <c:v>82.5</c:v>
                </c:pt>
                <c:pt idx="10">
                  <c:v>88.2</c:v>
                </c:pt>
                <c:pt idx="11">
                  <c:v>90.9</c:v>
                </c:pt>
                <c:pt idx="12">
                  <c:v>94.4</c:v>
                </c:pt>
                <c:pt idx="13">
                  <c:v>98.1</c:v>
                </c:pt>
                <c:pt idx="14">
                  <c:v>100.1</c:v>
                </c:pt>
                <c:pt idx="15">
                  <c:v>106.2</c:v>
                </c:pt>
                <c:pt idx="16">
                  <c:v>115.3</c:v>
                </c:pt>
                <c:pt idx="17">
                  <c:v>117.8</c:v>
                </c:pt>
                <c:pt idx="18">
                  <c:v>120</c:v>
                </c:pt>
              </c:numCache>
            </c:numRef>
          </c:xVal>
          <c:yVal>
            <c:numRef>
              <c:f>Sheet1!$C$53:$C$71</c:f>
              <c:numCache>
                <c:formatCode>General</c:formatCode>
                <c:ptCount val="19"/>
                <c:pt idx="0">
                  <c:v>0</c:v>
                </c:pt>
                <c:pt idx="1">
                  <c:v>0.18299999999999272</c:v>
                </c:pt>
                <c:pt idx="2">
                  <c:v>0.28999999999999204</c:v>
                </c:pt>
                <c:pt idx="3">
                  <c:v>0.4269999999999925</c:v>
                </c:pt>
                <c:pt idx="4">
                  <c:v>0.47199999999997999</c:v>
                </c:pt>
                <c:pt idx="5">
                  <c:v>0.60200000000000387</c:v>
                </c:pt>
                <c:pt idx="6">
                  <c:v>0.70099999999999341</c:v>
                </c:pt>
                <c:pt idx="7">
                  <c:v>0.95199999999999818</c:v>
                </c:pt>
                <c:pt idx="8">
                  <c:v>1.0619999999999834</c:v>
                </c:pt>
                <c:pt idx="9">
                  <c:v>1.1759999999999877</c:v>
                </c:pt>
                <c:pt idx="10">
                  <c:v>1.2339999999999804</c:v>
                </c:pt>
                <c:pt idx="11">
                  <c:v>1.2879999999999825</c:v>
                </c:pt>
                <c:pt idx="12">
                  <c:v>1.3409999999999798</c:v>
                </c:pt>
                <c:pt idx="13">
                  <c:v>1.4399999999999977</c:v>
                </c:pt>
                <c:pt idx="14">
                  <c:v>1.5089999999999861</c:v>
                </c:pt>
                <c:pt idx="15">
                  <c:v>1.6850000000000023</c:v>
                </c:pt>
                <c:pt idx="16">
                  <c:v>1.9279999999999973</c:v>
                </c:pt>
                <c:pt idx="17">
                  <c:v>2.3460000000000036</c:v>
                </c:pt>
                <c:pt idx="18">
                  <c:v>2.7299999999999898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AC-4D97-9623-2C7EE753E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14816"/>
        <c:axId val="45316352"/>
      </c:scatterChart>
      <c:valAx>
        <c:axId val="45314816"/>
        <c:scaling>
          <c:orientation val="minMax"/>
          <c:max val="300"/>
        </c:scaling>
        <c:delete val="0"/>
        <c:axPos val="b"/>
        <c:numFmt formatCode="General" sourceLinked="1"/>
        <c:majorTickMark val="out"/>
        <c:minorTickMark val="none"/>
        <c:tickLblPos val="nextTo"/>
        <c:crossAx val="45316352"/>
        <c:crosses val="autoZero"/>
        <c:crossBetween val="midCat"/>
      </c:valAx>
      <c:valAx>
        <c:axId val="4531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314816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3063864289341862"/>
          <c:y val="0.37319336577036327"/>
          <c:w val="0.20020921788212942"/>
          <c:h val="0.3583463906123419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3818471247053"/>
          <c:y val="4.214723391838935E-2"/>
          <c:w val="0.64078708572980725"/>
          <c:h val="0.79726741685870151"/>
        </c:manualLayout>
      </c:layout>
      <c:scatterChart>
        <c:scatterStyle val="smoothMarker"/>
        <c:varyColors val="0"/>
        <c:ser>
          <c:idx val="0"/>
          <c:order val="0"/>
          <c:tx>
            <c:v>KFAG Spill Calculation Methodology</c:v>
          </c:tx>
          <c:spPr>
            <a:effectLst/>
          </c:spPr>
          <c:marker>
            <c:symbol val="x"/>
            <c:size val="5"/>
            <c:spPr>
              <a:effectLst/>
            </c:spPr>
          </c:marker>
          <c:xVal>
            <c:numRef>
              <c:f>Sheet1!$M$12:$M$42</c:f>
              <c:numCache>
                <c:formatCode>0.0</c:formatCode>
                <c:ptCount val="31"/>
                <c:pt idx="0">
                  <c:v>0</c:v>
                </c:pt>
                <c:pt idx="1">
                  <c:v>20.237341189427127</c:v>
                </c:pt>
                <c:pt idx="2">
                  <c:v>2.0512410831674885</c:v>
                </c:pt>
                <c:pt idx="3">
                  <c:v>5.8017859190246828</c:v>
                </c:pt>
                <c:pt idx="4">
                  <c:v>10.658561323856125</c:v>
                </c:pt>
                <c:pt idx="5">
                  <c:v>16.409928665339912</c:v>
                </c:pt>
                <c:pt idx="6">
                  <c:v>22.933572501014023</c:v>
                </c:pt>
                <c:pt idx="7">
                  <c:v>30.146963959165316</c:v>
                </c:pt>
                <c:pt idx="8">
                  <c:v>37.98951649569954</c:v>
                </c:pt>
                <c:pt idx="9">
                  <c:v>46.414287352197441</c:v>
                </c:pt>
                <c:pt idx="10">
                  <c:v>55.383509245522205</c:v>
                </c:pt>
                <c:pt idx="11">
                  <c:v>64.865938529201372</c:v>
                </c:pt>
                <c:pt idx="12">
                  <c:v>74.835167301716325</c:v>
                </c:pt>
                <c:pt idx="13">
                  <c:v>85.268490590848984</c:v>
                </c:pt>
                <c:pt idx="14">
                  <c:v>91.631100000001169</c:v>
                </c:pt>
                <c:pt idx="15">
                  <c:v>96.816748000000601</c:v>
                </c:pt>
                <c:pt idx="16" formatCode="0">
                  <c:v>99.917050000000685</c:v>
                </c:pt>
                <c:pt idx="17" formatCode="0">
                  <c:v>103.20532800000078</c:v>
                </c:pt>
                <c:pt idx="18" formatCode="0">
                  <c:v>106.68158200000087</c:v>
                </c:pt>
                <c:pt idx="19" formatCode="0">
                  <c:v>110.34581200000096</c:v>
                </c:pt>
                <c:pt idx="20" formatCode="0">
                  <c:v>114.19801800000107</c:v>
                </c:pt>
                <c:pt idx="21" formatCode="0">
                  <c:v>115.73920000000017</c:v>
                </c:pt>
                <c:pt idx="22" formatCode="0">
                  <c:v>116.34276200000018</c:v>
                </c:pt>
                <c:pt idx="23" formatCode="0">
                  <c:v>116.94004800000017</c:v>
                </c:pt>
                <c:pt idx="24" formatCode="0">
                  <c:v>117.53105800000019</c:v>
                </c:pt>
                <c:pt idx="25" formatCode="0">
                  <c:v>118.1157920000002</c:v>
                </c:pt>
                <c:pt idx="26" formatCode="0">
                  <c:v>131.31660706022882</c:v>
                </c:pt>
                <c:pt idx="27" formatCode="0">
                  <c:v>167.03770158016226</c:v>
                </c:pt>
                <c:pt idx="28" formatCode="0">
                  <c:v>215.45020413990511</c:v>
                </c:pt>
                <c:pt idx="29" formatCode="0">
                  <c:v>273.78159359158258</c:v>
                </c:pt>
                <c:pt idx="30" formatCode="0">
                  <c:v>340.54929258581802</c:v>
                </c:pt>
              </c:numCache>
            </c:numRef>
          </c:xVal>
          <c:yVal>
            <c:numRef>
              <c:f>Sheet1!$B$12:$B$42</c:f>
              <c:numCache>
                <c:formatCode>General</c:formatCode>
                <c:ptCount val="31"/>
                <c:pt idx="0">
                  <c:v>0</c:v>
                </c:pt>
                <c:pt idx="1">
                  <c:v>0.46000000000000085</c:v>
                </c:pt>
                <c:pt idx="2">
                  <c:v>0.10000000000000142</c:v>
                </c:pt>
                <c:pt idx="3">
                  <c:v>0.20000000000000284</c:v>
                </c:pt>
                <c:pt idx="4">
                  <c:v>0.30000000000000426</c:v>
                </c:pt>
                <c:pt idx="5">
                  <c:v>0.40000000000000568</c:v>
                </c:pt>
                <c:pt idx="6">
                  <c:v>0.50000000000000711</c:v>
                </c:pt>
                <c:pt idx="7">
                  <c:v>0.60000000000000853</c:v>
                </c:pt>
                <c:pt idx="8">
                  <c:v>0.70000000000000995</c:v>
                </c:pt>
                <c:pt idx="9">
                  <c:v>0.80000000000001137</c:v>
                </c:pt>
                <c:pt idx="10">
                  <c:v>0.90000000000001279</c:v>
                </c:pt>
                <c:pt idx="11">
                  <c:v>1.0000000000000142</c:v>
                </c:pt>
                <c:pt idx="12">
                  <c:v>1.1000000000000156</c:v>
                </c:pt>
                <c:pt idx="13">
                  <c:v>1.2000000000000171</c:v>
                </c:pt>
                <c:pt idx="14">
                  <c:v>1.3000000000000185</c:v>
                </c:pt>
                <c:pt idx="15">
                  <c:v>1.4000000000000199</c:v>
                </c:pt>
                <c:pt idx="16">
                  <c:v>1.5000000000000213</c:v>
                </c:pt>
                <c:pt idx="17">
                  <c:v>1.6000000000000227</c:v>
                </c:pt>
                <c:pt idx="18">
                  <c:v>1.7000000000000242</c:v>
                </c:pt>
                <c:pt idx="19">
                  <c:v>1.8000000000000256</c:v>
                </c:pt>
                <c:pt idx="20">
                  <c:v>1.900000000000027</c:v>
                </c:pt>
                <c:pt idx="21">
                  <c:v>2.0000000000000284</c:v>
                </c:pt>
                <c:pt idx="22">
                  <c:v>2.1000000000000298</c:v>
                </c:pt>
                <c:pt idx="23">
                  <c:v>2.2000000000000313</c:v>
                </c:pt>
                <c:pt idx="24">
                  <c:v>2.3000000000000327</c:v>
                </c:pt>
                <c:pt idx="25">
                  <c:v>2.4000000000000341</c:v>
                </c:pt>
                <c:pt idx="26">
                  <c:v>2.5000000000000355</c:v>
                </c:pt>
                <c:pt idx="27">
                  <c:v>2.6000000000000369</c:v>
                </c:pt>
                <c:pt idx="28">
                  <c:v>2.7000000000000384</c:v>
                </c:pt>
                <c:pt idx="29">
                  <c:v>2.8000000000000398</c:v>
                </c:pt>
                <c:pt idx="30">
                  <c:v>2.9000000000000412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9D-449D-9ECC-D8283588CBEC}"/>
            </c:ext>
          </c:extLst>
        </c:ser>
        <c:ser>
          <c:idx val="1"/>
          <c:order val="1"/>
          <c:tx>
            <c:v>CRM Ltd.  Modeled Spill Examination</c:v>
          </c:tx>
          <c:marker>
            <c:symbol val="none"/>
          </c:marker>
          <c:xVal>
            <c:numRef>
              <c:f>Sheet1!$B$53:$B$71</c:f>
              <c:numCache>
                <c:formatCode>General</c:formatCode>
                <c:ptCount val="19"/>
                <c:pt idx="0">
                  <c:v>0</c:v>
                </c:pt>
                <c:pt idx="1">
                  <c:v>3.8</c:v>
                </c:pt>
                <c:pt idx="2">
                  <c:v>9.5</c:v>
                </c:pt>
                <c:pt idx="3">
                  <c:v>19.3</c:v>
                </c:pt>
                <c:pt idx="4">
                  <c:v>22.2</c:v>
                </c:pt>
                <c:pt idx="5">
                  <c:v>31.2</c:v>
                </c:pt>
                <c:pt idx="6">
                  <c:v>39.6</c:v>
                </c:pt>
                <c:pt idx="7">
                  <c:v>59.1</c:v>
                </c:pt>
                <c:pt idx="8">
                  <c:v>70.7</c:v>
                </c:pt>
                <c:pt idx="9">
                  <c:v>82.5</c:v>
                </c:pt>
                <c:pt idx="10">
                  <c:v>88.2</c:v>
                </c:pt>
                <c:pt idx="11">
                  <c:v>90.9</c:v>
                </c:pt>
                <c:pt idx="12">
                  <c:v>94.4</c:v>
                </c:pt>
                <c:pt idx="13">
                  <c:v>98.1</c:v>
                </c:pt>
                <c:pt idx="14">
                  <c:v>100.1</c:v>
                </c:pt>
                <c:pt idx="15">
                  <c:v>106.2</c:v>
                </c:pt>
                <c:pt idx="16">
                  <c:v>115.3</c:v>
                </c:pt>
                <c:pt idx="17">
                  <c:v>117.8</c:v>
                </c:pt>
                <c:pt idx="18">
                  <c:v>120</c:v>
                </c:pt>
              </c:numCache>
            </c:numRef>
          </c:xVal>
          <c:yVal>
            <c:numRef>
              <c:f>Sheet1!$C$53:$C$71</c:f>
              <c:numCache>
                <c:formatCode>General</c:formatCode>
                <c:ptCount val="19"/>
                <c:pt idx="0">
                  <c:v>0</c:v>
                </c:pt>
                <c:pt idx="1">
                  <c:v>0.18299999999999272</c:v>
                </c:pt>
                <c:pt idx="2">
                  <c:v>0.28999999999999204</c:v>
                </c:pt>
                <c:pt idx="3">
                  <c:v>0.4269999999999925</c:v>
                </c:pt>
                <c:pt idx="4">
                  <c:v>0.47199999999997999</c:v>
                </c:pt>
                <c:pt idx="5">
                  <c:v>0.60200000000000387</c:v>
                </c:pt>
                <c:pt idx="6">
                  <c:v>0.70099999999999341</c:v>
                </c:pt>
                <c:pt idx="7">
                  <c:v>0.95199999999999818</c:v>
                </c:pt>
                <c:pt idx="8">
                  <c:v>1.0619999999999834</c:v>
                </c:pt>
                <c:pt idx="9">
                  <c:v>1.1759999999999877</c:v>
                </c:pt>
                <c:pt idx="10">
                  <c:v>1.2339999999999804</c:v>
                </c:pt>
                <c:pt idx="11">
                  <c:v>1.2879999999999825</c:v>
                </c:pt>
                <c:pt idx="12">
                  <c:v>1.3409999999999798</c:v>
                </c:pt>
                <c:pt idx="13">
                  <c:v>1.4399999999999977</c:v>
                </c:pt>
                <c:pt idx="14">
                  <c:v>1.5089999999999861</c:v>
                </c:pt>
                <c:pt idx="15">
                  <c:v>1.6850000000000023</c:v>
                </c:pt>
                <c:pt idx="16">
                  <c:v>1.9279999999999973</c:v>
                </c:pt>
                <c:pt idx="17">
                  <c:v>2.3460000000000036</c:v>
                </c:pt>
                <c:pt idx="18">
                  <c:v>2.7299999999999898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99D-449D-9ECC-D8283588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2176"/>
        <c:axId val="45923712"/>
      </c:scatterChart>
      <c:valAx>
        <c:axId val="45922176"/>
        <c:scaling>
          <c:orientation val="minMax"/>
        </c:scaling>
        <c:delete val="0"/>
        <c:axPos val="b"/>
        <c:minorGridlines>
          <c:spPr>
            <a:ln>
              <a:solidFill>
                <a:schemeClr val="tx2">
                  <a:lumMod val="60000"/>
                  <a:lumOff val="40000"/>
                  <a:alpha val="13000"/>
                </a:schemeClr>
              </a:solidFill>
            </a:ln>
          </c:spPr>
        </c:minorGridlines>
        <c:numFmt formatCode="0.0" sourceLinked="1"/>
        <c:majorTickMark val="out"/>
        <c:minorTickMark val="none"/>
        <c:tickLblPos val="nextTo"/>
        <c:crossAx val="45923712"/>
        <c:crosses val="autoZero"/>
        <c:crossBetween val="midCat"/>
      </c:valAx>
      <c:valAx>
        <c:axId val="45923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922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992644594124528"/>
          <c:y val="0.34624120469789754"/>
          <c:w val="0.18437074281377477"/>
          <c:h val="0.275194146186272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369277</xdr:colOff>
      <xdr:row>76</xdr:row>
      <xdr:rowOff>57150</xdr:rowOff>
    </xdr:from>
    <xdr:to>
      <xdr:col>12</xdr:col>
      <xdr:colOff>352425</xdr:colOff>
      <xdr:row>109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301626</xdr:colOff>
      <xdr:row>47</xdr:row>
      <xdr:rowOff>31750</xdr:rowOff>
    </xdr:from>
    <xdr:to>
      <xdr:col>14</xdr:col>
      <xdr:colOff>523876</xdr:colOff>
      <xdr:row>74</xdr:row>
      <xdr:rowOff>31749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85725</xdr:colOff>
      <xdr:row>3</xdr:row>
      <xdr:rowOff>28575</xdr:rowOff>
    </xdr:from>
    <xdr:to>
      <xdr:col>1</xdr:col>
      <xdr:colOff>409575</xdr:colOff>
      <xdr:row>5</xdr:row>
      <xdr:rowOff>314325</xdr:rowOff>
    </xdr:to>
    <xdr:sp macro="" textlink="">
      <xdr:nvSpPr>
        <xdr:cNvPr id="22" name="Right Arrow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1039475" y="8267700"/>
          <a:ext cx="323850" cy="666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28575</xdr:colOff>
      <xdr:row>9</xdr:row>
      <xdr:rowOff>0</xdr:rowOff>
    </xdr:from>
    <xdr:to>
      <xdr:col>1</xdr:col>
      <xdr:colOff>295275</xdr:colOff>
      <xdr:row>12</xdr:row>
      <xdr:rowOff>171450</xdr:rowOff>
    </xdr:to>
    <xdr:sp macro="" textlink="">
      <xdr:nvSpPr>
        <xdr:cNvPr id="3" name="Ben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638175" y="2076450"/>
          <a:ext cx="266700" cy="1152525"/>
        </a:xfrm>
        <a:prstGeom prst="ben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514349</xdr:colOff>
      <xdr:row>6</xdr:row>
      <xdr:rowOff>57151</xdr:rowOff>
    </xdr:from>
    <xdr:to>
      <xdr:col>13</xdr:col>
      <xdr:colOff>171449</xdr:colOff>
      <xdr:row>12</xdr:row>
      <xdr:rowOff>47626</xdr:rowOff>
    </xdr:to>
    <xdr:sp macro="" textlink="">
      <xdr:nvSpPr>
        <xdr:cNvPr id="4" name="Left-Right-Up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696574" y="1562101"/>
          <a:ext cx="314325" cy="1543050"/>
        </a:xfrm>
        <a:prstGeom prst="leftRightUp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0.72106</cdr:x>
      <cdr:y>0.23423</cdr:y>
    </cdr:from>
    <cdr:to>
      <cdr:x>0.92918</cdr:x>
      <cdr:y>0.39826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41052" y="965696"/>
          <a:ext cx="1685896" cy="676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Cd</a:t>
          </a:r>
          <a:r>
            <a:rPr lang="en-GB" sz="1100" i="0"/>
            <a:t>   set at 0.73</a:t>
          </a:r>
        </a:p>
        <a:p xmlns:a="http://schemas.openxmlformats.org/drawingml/2006/main">
          <a:r>
            <a:rPr lang="en-GB" sz="1100" i="0"/>
            <a:t>Weir width set at 28.37 M </a:t>
          </a:r>
        </a:p>
        <a:p xmlns:a="http://schemas.openxmlformats.org/drawingml/2006/main">
          <a:r>
            <a:rPr lang="en-GB" sz="1100" i="0"/>
            <a:t>(Jacobs)</a:t>
          </a:r>
          <a:endParaRPr lang="en-GB" sz="1100" i="1"/>
        </a:p>
      </cdr:txBody>
    </cdr:sp>
  </cdr:relSizeAnchor>
  <cdr:relSizeAnchor xmlns:cdr="http://schemas.openxmlformats.org/drawingml/2006/chartDrawing">
    <cdr:from>
      <cdr:x>0.29226</cdr:x>
      <cdr:y>0.55219</cdr:y>
    </cdr:from>
    <cdr:to>
      <cdr:x>0.36043</cdr:x>
      <cdr:y>0.62518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2391316" y="3316693"/>
          <a:ext cx="557785" cy="438412"/>
        </a:xfrm>
        <a:prstGeom xmlns:a="http://schemas.openxmlformats.org/drawingml/2006/main" prst="round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0.352</cdr:x>
      <cdr:y>0.37045</cdr:y>
    </cdr:from>
    <cdr:to>
      <cdr:x>0.42773</cdr:x>
      <cdr:y>0.55522</cdr:y>
    </cdr:to>
    <cdr:sp macro="" textlink="">
      <cdr:nvSpPr>
        <cdr:cNvPr id="4" name="Rounded Rectangle 3"/>
        <cdr:cNvSpPr/>
      </cdr:nvSpPr>
      <cdr:spPr>
        <a:xfrm xmlns:a="http://schemas.openxmlformats.org/drawingml/2006/main">
          <a:off x="2803700" y="2318236"/>
          <a:ext cx="603241" cy="1156272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accent2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0.39066</cdr:x>
      <cdr:y>0.15073</cdr:y>
    </cdr:from>
    <cdr:to>
      <cdr:x>0.44368</cdr:x>
      <cdr:y>0.38568</cdr:y>
    </cdr:to>
    <cdr:sp macro="" textlink="">
      <cdr:nvSpPr>
        <cdr:cNvPr id="5" name="Rounded Rectangle 4"/>
        <cdr:cNvSpPr/>
      </cdr:nvSpPr>
      <cdr:spPr>
        <a:xfrm xmlns:a="http://schemas.openxmlformats.org/drawingml/2006/main">
          <a:off x="3111672" y="943265"/>
          <a:ext cx="422268" cy="1470321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0.36118</cdr:x>
      <cdr:y>0.56331</cdr:y>
    </cdr:from>
    <cdr:to>
      <cdr:x>0.6111</cdr:x>
      <cdr:y>0.6249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55274" y="3383504"/>
          <a:ext cx="2044912" cy="369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Transition equation 1</a:t>
          </a:r>
        </a:p>
      </cdr:txBody>
    </cdr:sp>
  </cdr:relSizeAnchor>
  <cdr:relSizeAnchor xmlns:cdr="http://schemas.openxmlformats.org/drawingml/2006/chartDrawing">
    <cdr:from>
      <cdr:x>0.1858</cdr:x>
      <cdr:y>0.3702</cdr:y>
    </cdr:from>
    <cdr:to>
      <cdr:x>0.38145</cdr:x>
      <cdr:y>0.44548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520244" y="2223571"/>
          <a:ext cx="1600861" cy="452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Transition equation 2</a:t>
          </a:r>
        </a:p>
      </cdr:txBody>
    </cdr:sp>
  </cdr:relSizeAnchor>
  <cdr:relSizeAnchor xmlns:cdr="http://schemas.openxmlformats.org/drawingml/2006/chartDrawing">
    <cdr:from>
      <cdr:x>0.28901</cdr:x>
      <cdr:y>0.1477</cdr:y>
    </cdr:from>
    <cdr:to>
      <cdr:x>0.4367</cdr:x>
      <cdr:y>0.27316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364720" y="887149"/>
          <a:ext cx="1208439" cy="7535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Transition equation 3</a:t>
          </a:r>
        </a:p>
      </cdr:txBody>
    </cdr:sp>
  </cdr:relSizeAnchor>
  <cdr:relSizeAnchor xmlns:cdr="http://schemas.openxmlformats.org/drawingml/2006/chartDrawing">
    <cdr:from>
      <cdr:x>0.30469</cdr:x>
      <cdr:y>0.61683</cdr:y>
    </cdr:from>
    <cdr:to>
      <cdr:x>0.33624</cdr:x>
      <cdr:y>0.73545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8381C39E-01F9-4627-B171-02E348029EBB}"/>
            </a:ext>
          </a:extLst>
        </cdr:cNvPr>
        <cdr:cNvCxnSpPr/>
      </cdr:nvCxnSpPr>
      <cdr:spPr>
        <a:xfrm xmlns:a="http://schemas.openxmlformats.org/drawingml/2006/main" flipH="1" flipV="1">
          <a:off x="2493074" y="3704994"/>
          <a:ext cx="258151" cy="71248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0.27012</cdr:x>
      <cdr:y>0.46293</cdr:y>
    </cdr:from>
    <cdr:to>
      <cdr:x>0.35343</cdr:x>
      <cdr:y>0.51311</cdr:y>
    </cdr:to>
    <cdr:cxnSp macro="">
      <cdr:nvCxnSpPr>
        <cdr:cNvPr id="13" name="Straight Arrow Connector 12">
          <a:extLst xmlns:a="http://schemas.openxmlformats.org/drawingml/2006/main">
            <a:ext uri="{FF2B5EF4-FFF2-40B4-BE49-F238E27FC236}">
              <a16:creationId xmlns:a16="http://schemas.microsoft.com/office/drawing/2014/main" id="{E99B274D-7029-4765-BEEE-32EC18B1B05F}"/>
            </a:ext>
          </a:extLst>
        </cdr:cNvPr>
        <cdr:cNvCxnSpPr/>
      </cdr:nvCxnSpPr>
      <cdr:spPr>
        <a:xfrm xmlns:a="http://schemas.openxmlformats.org/drawingml/2006/main">
          <a:off x="2210224" y="2780578"/>
          <a:ext cx="681664" cy="30140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0.42407</cdr:x>
      <cdr:y>0.29058</cdr:y>
    </cdr:from>
    <cdr:to>
      <cdr:x>0.48718</cdr:x>
      <cdr:y>0.35673</cdr:y>
    </cdr:to>
    <cdr:cxnSp macro="">
      <cdr:nvCxnSpPr>
        <cdr:cNvPr id="16" name="Straight Arrow Connector 15">
          <a:extLst xmlns:a="http://schemas.openxmlformats.org/drawingml/2006/main">
            <a:ext uri="{FF2B5EF4-FFF2-40B4-BE49-F238E27FC236}">
              <a16:creationId xmlns:a16="http://schemas.microsoft.com/office/drawing/2014/main" id="{5B054E47-1824-4A03-9A32-CAB41AA70D9E}"/>
            </a:ext>
          </a:extLst>
        </cdr:cNvPr>
        <cdr:cNvCxnSpPr/>
      </cdr:nvCxnSpPr>
      <cdr:spPr>
        <a:xfrm xmlns:a="http://schemas.openxmlformats.org/drawingml/2006/main" flipH="1">
          <a:off x="3469815" y="1745369"/>
          <a:ext cx="516382" cy="397328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0.32549</cdr:x>
      <cdr:y>0.68295</cdr:y>
    </cdr:from>
    <cdr:to>
      <cdr:x>0.5527</cdr:x>
      <cdr:y>0.75366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592561" y="4273856"/>
          <a:ext cx="1809722" cy="442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Transition point A</a:t>
          </a:r>
        </a:p>
      </cdr:txBody>
    </cdr:sp>
  </cdr:relSizeAnchor>
  <cdr:relSizeAnchor xmlns:cdr="http://schemas.openxmlformats.org/drawingml/2006/chartDrawing">
    <cdr:from>
      <cdr:x>0.12499</cdr:x>
      <cdr:y>0.44268</cdr:y>
    </cdr:from>
    <cdr:to>
      <cdr:x>0.409</cdr:x>
      <cdr:y>0.49515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995560" y="2770260"/>
          <a:ext cx="2262152" cy="3283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Transition n</a:t>
          </a:r>
          <a:r>
            <a:rPr lang="en-GB" sz="1100" baseline="0"/>
            <a:t> point B</a:t>
          </a:r>
          <a:endParaRPr lang="en-GB" sz="1100"/>
        </a:p>
      </cdr:txBody>
    </cdr:sp>
  </cdr:relSizeAnchor>
  <cdr:relSizeAnchor xmlns:cdr="http://schemas.openxmlformats.org/drawingml/2006/chartDrawing">
    <cdr:from>
      <cdr:x>0.46461</cdr:x>
      <cdr:y>0.25714</cdr:y>
    </cdr:from>
    <cdr:to>
      <cdr:x>0.64637</cdr:x>
      <cdr:y>0.34839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700626" y="1609187"/>
          <a:ext cx="1447778" cy="57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Transition point C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0.2012</cdr:x>
      <cdr:y>0.90505</cdr:y>
    </cdr:from>
    <cdr:to>
      <cdr:x>0.70241</cdr:x>
      <cdr:y>0.97374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90674" y="4267201"/>
          <a:ext cx="3962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Reservoir Spill  Rates in Cumecs    (Cubic </a:t>
          </a:r>
          <a:r>
            <a:rPr lang="en-GB" sz="1100" baseline="0"/>
            <a:t> metre per second)</a:t>
          </a:r>
          <a:endParaRPr lang="en-GB" sz="1100"/>
        </a:p>
      </cdr:txBody>
    </cdr:sp>
  </cdr:relSizeAnchor>
  <cdr:relSizeAnchor xmlns:cdr="http://schemas.openxmlformats.org/drawingml/2006/chartDrawing">
    <cdr:from>
      <cdr:x>0.0253</cdr:x>
      <cdr:y>0.06869</cdr:y>
    </cdr:from>
    <cdr:to>
      <cdr:x>0.08675</cdr:x>
      <cdr:y>0.8101</cdr:y>
    </cdr:to>
    <cdr:sp macro="" textlink="">
      <cdr:nvSpPr>
        <cdr:cNvPr id="3" name="TextBox 2"/>
        <cdr:cNvSpPr txBox="1"/>
      </cdr:nvSpPr>
      <cdr:spPr>
        <a:xfrm xmlns:a="http://schemas.openxmlformats.org/drawingml/2006/main" rot="16200000">
          <a:off x="-1304926" y="1828801"/>
          <a:ext cx="34956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Height of  Reservoir  Water above the weir  m.</a:t>
          </a:r>
        </a:p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0.21928</cdr:x>
      <cdr:y>0.7899</cdr:y>
    </cdr:from>
    <cdr:to>
      <cdr:x>0.64337</cdr:x>
      <cdr:y>0.85253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33549" y="3724276"/>
          <a:ext cx="33528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Weir Level - 0.0m </a:t>
          </a:r>
        </a:p>
      </cdr:txBody>
    </cdr:sp>
  </cdr:relSizeAnchor>
  <cdr:relSizeAnchor xmlns:cdr="http://schemas.openxmlformats.org/drawingml/2006/chartDrawing">
    <cdr:from>
      <cdr:x>0.11687</cdr:x>
      <cdr:y>0.29091</cdr:y>
    </cdr:from>
    <cdr:to>
      <cdr:x>0.61807</cdr:x>
      <cdr:y>0.29293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8602883D-DE85-4297-9CAF-84CF5662B4C3}"/>
            </a:ext>
          </a:extLst>
        </cdr:cNvPr>
        <cdr:cNvCxnSpPr/>
      </cdr:nvCxnSpPr>
      <cdr:spPr>
        <a:xfrm xmlns:a="http://schemas.openxmlformats.org/drawingml/2006/main" flipV="1">
          <a:off x="923924" y="1371601"/>
          <a:ext cx="3962400" cy="95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2">
              <a:lumMod val="60000"/>
              <a:lumOff val="40000"/>
            </a:schemeClr>
          </a:solidFill>
        </a:ln>
        <a:effectLst xmlns:a="http://schemas.openxmlformats.org/drawingml/2006/main">
          <a:outerShdw blurRad="114300" dist="38100" dir="5400000" algn="t" rotWithShape="0">
            <a:prstClr val="black">
              <a:alpha val="92000"/>
            </a:prstClr>
          </a:outerShdw>
        </a:effectLst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0.61928</cdr:x>
      <cdr:y>0.25859</cdr:y>
    </cdr:from>
    <cdr:to>
      <cdr:x>0.80964</cdr:x>
      <cdr:y>0.36162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895849" y="1219201"/>
          <a:ext cx="1504950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Reservoir Full</a:t>
          </a:r>
        </a:p>
      </cdr:txBody>
    </cdr:sp>
  </cdr:relSizeAnchor>
  <cdr:relSizeAnchor xmlns:cdr="http://schemas.openxmlformats.org/drawingml/2006/chartDrawing">
    <cdr:from>
      <cdr:x>0.14217</cdr:x>
      <cdr:y>0.05051</cdr:y>
    </cdr:from>
    <cdr:to>
      <cdr:x>1</cdr:x>
      <cdr:y>0.12929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123949" y="238126"/>
          <a:ext cx="6781801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 u="sng"/>
            <a:t>KFAG  Keswick Flood Action Group     Thirlmere Reservoir Spill Calculation Graph   November 2017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1"/>
  <sheetViews>
    <sheetView tabSelected="1" zoomScaleNormal="100" workbookViewId="0">
      <selection activeCell="O6" sqref="O6"/>
    </sheetView>
  </sheetViews>
  <sheetFormatPr defaultRowHeight="14.4" x14ac:dyDescent="0.3"/>
  <cols>
    <col min="3" max="3" width="14.6640625" customWidth="1"/>
    <col min="4" max="4" width="12.6640625" customWidth="1"/>
    <col min="5" max="5" width="13.88671875" customWidth="1"/>
    <col min="6" max="6" width="9.77734375" customWidth="1"/>
    <col min="7" max="7" width="13.88671875" customWidth="1"/>
    <col min="8" max="8" width="9.77734375" customWidth="1"/>
    <col min="9" max="9" width="13.88671875" customWidth="1"/>
    <col min="10" max="10" width="9.77734375" customWidth="1"/>
    <col min="11" max="11" width="14.6640625" customWidth="1"/>
    <col min="12" max="12" width="9.77734375" customWidth="1"/>
    <col min="13" max="14" width="9.88671875" customWidth="1"/>
    <col min="15" max="15" width="25.5546875" customWidth="1"/>
  </cols>
  <sheetData>
    <row r="1" spans="1:15" ht="24.6" customHeight="1" thickBot="1" x14ac:dyDescent="0.4">
      <c r="A1" s="86" t="s">
        <v>19</v>
      </c>
      <c r="B1" s="1"/>
      <c r="C1" s="1"/>
      <c r="D1" s="1"/>
      <c r="E1" s="1"/>
      <c r="F1" s="35" t="s">
        <v>20</v>
      </c>
      <c r="G1" s="1"/>
      <c r="H1" s="1"/>
      <c r="I1" s="1"/>
      <c r="J1" s="1"/>
      <c r="K1" s="36" t="s">
        <v>36</v>
      </c>
      <c r="L1" s="36"/>
      <c r="M1" s="1"/>
      <c r="N1" s="1"/>
      <c r="O1" s="2"/>
    </row>
    <row r="2" spans="1:15" ht="14.4" customHeight="1" thickBot="1" x14ac:dyDescent="0.35">
      <c r="A2" s="19"/>
      <c r="B2" s="4"/>
      <c r="C2" s="3"/>
      <c r="D2" s="75" t="s">
        <v>0</v>
      </c>
      <c r="E2" s="19" t="s">
        <v>28</v>
      </c>
      <c r="F2" s="4"/>
      <c r="G2" s="19" t="s">
        <v>29</v>
      </c>
      <c r="H2" s="4"/>
      <c r="I2" s="19" t="s">
        <v>30</v>
      </c>
      <c r="J2" s="4"/>
      <c r="K2" t="s">
        <v>31</v>
      </c>
      <c r="M2" s="19"/>
      <c r="N2" s="3"/>
      <c r="O2" s="76" t="s">
        <v>39</v>
      </c>
    </row>
    <row r="3" spans="1:15" ht="14.4" customHeight="1" x14ac:dyDescent="0.3">
      <c r="A3" s="8"/>
      <c r="B3" s="9"/>
      <c r="C3" s="73"/>
      <c r="D3" s="7"/>
      <c r="E3" s="73"/>
      <c r="F3" s="9"/>
      <c r="G3" s="73"/>
      <c r="H3" s="9"/>
      <c r="I3" s="73"/>
      <c r="J3" s="9"/>
      <c r="K3" s="19"/>
      <c r="L3" s="22" t="s">
        <v>0</v>
      </c>
      <c r="M3" s="8"/>
      <c r="N3" s="73"/>
      <c r="O3" s="77"/>
    </row>
    <row r="4" spans="1:15" x14ac:dyDescent="0.3">
      <c r="A4" s="8" t="s">
        <v>21</v>
      </c>
      <c r="B4" s="9"/>
      <c r="C4" s="6" t="s">
        <v>1</v>
      </c>
      <c r="D4" s="9">
        <v>0.73</v>
      </c>
      <c r="F4" s="9"/>
      <c r="H4" s="9"/>
      <c r="J4" s="9"/>
      <c r="K4" s="5" t="s">
        <v>1</v>
      </c>
      <c r="L4">
        <v>0.8</v>
      </c>
      <c r="M4" s="8"/>
      <c r="O4" s="77"/>
    </row>
    <row r="5" spans="1:15" ht="15" thickBot="1" x14ac:dyDescent="0.35">
      <c r="A5" s="8" t="s">
        <v>22</v>
      </c>
      <c r="B5" s="9"/>
      <c r="C5" s="6" t="s">
        <v>5</v>
      </c>
      <c r="D5">
        <v>3.1320919526731652</v>
      </c>
      <c r="E5" s="23" t="s">
        <v>37</v>
      </c>
      <c r="F5" s="9"/>
      <c r="G5" s="23" t="s">
        <v>13</v>
      </c>
      <c r="H5" s="9"/>
      <c r="I5" s="23" t="s">
        <v>14</v>
      </c>
      <c r="J5" s="9"/>
      <c r="K5" s="5" t="s">
        <v>5</v>
      </c>
      <c r="L5">
        <v>3.1320919526731652</v>
      </c>
      <c r="M5" s="8"/>
      <c r="O5" s="78"/>
    </row>
    <row r="6" spans="1:15" ht="29.4" customHeight="1" thickBot="1" x14ac:dyDescent="0.35">
      <c r="A6" s="10"/>
      <c r="B6" s="12"/>
      <c r="C6" s="30" t="s">
        <v>6</v>
      </c>
      <c r="D6" s="11">
        <v>28.37</v>
      </c>
      <c r="E6" s="8"/>
      <c r="F6" s="9"/>
      <c r="G6" s="8"/>
      <c r="H6" s="9"/>
      <c r="I6" s="8"/>
      <c r="J6" s="9"/>
      <c r="K6" s="24" t="s">
        <v>7</v>
      </c>
      <c r="L6">
        <v>272</v>
      </c>
      <c r="M6" s="71" t="s">
        <v>26</v>
      </c>
      <c r="N6" s="72"/>
      <c r="O6" s="9"/>
    </row>
    <row r="7" spans="1:15" ht="15" thickBot="1" x14ac:dyDescent="0.35">
      <c r="A7" s="45"/>
      <c r="B7" s="69"/>
      <c r="C7" s="31" t="s">
        <v>15</v>
      </c>
      <c r="D7" s="13"/>
      <c r="E7" s="31" t="s">
        <v>15</v>
      </c>
      <c r="F7" s="4"/>
      <c r="G7" s="31" t="s">
        <v>15</v>
      </c>
      <c r="H7" s="4"/>
      <c r="I7" s="31" t="s">
        <v>15</v>
      </c>
      <c r="J7" s="4"/>
      <c r="K7" s="79" t="s">
        <v>38</v>
      </c>
      <c r="L7" s="2"/>
      <c r="M7" s="8"/>
      <c r="N7" s="9"/>
      <c r="O7" s="9"/>
    </row>
    <row r="8" spans="1:15" x14ac:dyDescent="0.3">
      <c r="A8" s="45" t="s">
        <v>24</v>
      </c>
      <c r="B8" s="69"/>
      <c r="C8" s="32" t="s">
        <v>17</v>
      </c>
      <c r="D8" s="6"/>
      <c r="E8" s="25" t="s">
        <v>17</v>
      </c>
      <c r="F8" s="7"/>
      <c r="G8" s="25" t="s">
        <v>17</v>
      </c>
      <c r="H8" s="7"/>
      <c r="I8" s="25" t="s">
        <v>17</v>
      </c>
      <c r="J8" s="9"/>
      <c r="K8" s="26" t="s">
        <v>8</v>
      </c>
      <c r="L8" t="s">
        <v>10</v>
      </c>
      <c r="M8" s="8"/>
      <c r="N8" s="9"/>
      <c r="O8" s="9"/>
    </row>
    <row r="9" spans="1:15" x14ac:dyDescent="0.3">
      <c r="A9" s="45"/>
      <c r="B9" s="69" t="s">
        <v>25</v>
      </c>
      <c r="C9" s="27">
        <v>0</v>
      </c>
      <c r="E9" s="26">
        <v>1.222</v>
      </c>
      <c r="F9" s="9"/>
      <c r="G9" s="26">
        <v>1.3520000000000001</v>
      </c>
      <c r="H9" s="9"/>
      <c r="I9" s="26">
        <v>1.9239999999999999</v>
      </c>
      <c r="J9" s="9"/>
      <c r="K9" s="26" t="s">
        <v>9</v>
      </c>
      <c r="L9" t="s">
        <v>11</v>
      </c>
      <c r="M9" s="8"/>
      <c r="N9" s="9"/>
      <c r="O9" s="9"/>
    </row>
    <row r="10" spans="1:15" ht="15" thickBot="1" x14ac:dyDescent="0.35">
      <c r="A10" s="45"/>
      <c r="B10" s="69"/>
      <c r="C10" s="27">
        <v>1.2215</v>
      </c>
      <c r="E10" s="26">
        <v>1.3514999999999999</v>
      </c>
      <c r="F10" s="9"/>
      <c r="G10" s="26">
        <v>1.9235</v>
      </c>
      <c r="H10" s="9"/>
      <c r="I10" s="26">
        <v>3.5</v>
      </c>
      <c r="J10" s="9"/>
      <c r="K10" s="26"/>
      <c r="M10" s="8"/>
      <c r="N10" s="12"/>
      <c r="O10" s="9"/>
    </row>
    <row r="11" spans="1:15" ht="43.8" thickBot="1" x14ac:dyDescent="0.35">
      <c r="A11" s="37" t="s">
        <v>18</v>
      </c>
      <c r="B11" s="21" t="s">
        <v>2</v>
      </c>
      <c r="C11" s="33" t="s">
        <v>4</v>
      </c>
      <c r="D11" s="29" t="s">
        <v>33</v>
      </c>
      <c r="E11" s="28" t="s">
        <v>4</v>
      </c>
      <c r="F11" s="29" t="s">
        <v>34</v>
      </c>
      <c r="G11" s="28" t="s">
        <v>4</v>
      </c>
      <c r="H11" s="29" t="s">
        <v>34</v>
      </c>
      <c r="I11" s="28" t="s">
        <v>4</v>
      </c>
      <c r="J11" s="29" t="s">
        <v>35</v>
      </c>
      <c r="K11" s="38" t="s">
        <v>16</v>
      </c>
      <c r="L11" s="74" t="s">
        <v>32</v>
      </c>
      <c r="M11" s="70" t="s">
        <v>27</v>
      </c>
      <c r="N11" s="39" t="s">
        <v>23</v>
      </c>
      <c r="O11" s="39" t="s">
        <v>12</v>
      </c>
    </row>
    <row r="12" spans="1:15" ht="14.25" customHeight="1" thickBot="1" x14ac:dyDescent="0.35">
      <c r="A12" s="19">
        <v>16.55</v>
      </c>
      <c r="B12" s="4">
        <f>A12-16.55</f>
        <v>0</v>
      </c>
      <c r="C12" s="3">
        <f t="shared" ref="C12:C42" si="0">IF(B12&gt;1.2215,0,IF(B12&gt;0,B12,0))</f>
        <v>0</v>
      </c>
      <c r="D12" s="20">
        <f t="shared" ref="D12:D42" si="1">(POWER(C12,1.5)*0.73*3.132092*28.37)</f>
        <v>0</v>
      </c>
      <c r="E12" s="19">
        <f t="shared" ref="E12" si="2">IF(B12&gt;1.3515,0,IF(B12&gt;1.222,B12,0))</f>
        <v>0</v>
      </c>
      <c r="F12" s="20">
        <f t="shared" ref="F12:F42" si="3">IF(E12&gt;0,(((POWER(E12,2)*149.89)-(E12*328.01)+264.73)),0)</f>
        <v>0</v>
      </c>
      <c r="G12" s="19">
        <f t="shared" ref="G12" si="4">IF(B12&gt;1.9235,0,IF(B12&gt;1.352,B12,0))</f>
        <v>0</v>
      </c>
      <c r="H12" s="20">
        <f t="shared" ref="H12:H42" si="5">IF(G12&gt;0,((POWER(G12,2))*(9.3988)+(3.7465*G12)+73.15),0)</f>
        <v>0</v>
      </c>
      <c r="I12" s="19">
        <f t="shared" ref="I12" si="6">IF(B12&gt;3.5,0,IF(B12&gt;1.924,B12,0))</f>
        <v>0</v>
      </c>
      <c r="J12" s="20">
        <f t="shared" ref="J12:J42" si="7">IF(I12&gt;0,(((POWER(I12,2))*(-0.3138))+(7.3222*I12)+102.35),0)</f>
        <v>0</v>
      </c>
      <c r="K12" s="40">
        <f t="shared" ref="K12:K42" si="8">IF(B12&gt;2.44,(B12-2.43),0)</f>
        <v>0</v>
      </c>
      <c r="L12" s="40">
        <f t="shared" ref="L12:L42" si="9">(POWER(K12,1.5)*0.8*3.132092*272)</f>
        <v>0</v>
      </c>
      <c r="M12" s="56">
        <f t="shared" ref="M12:M42" si="10">D12+F12+H12+J12+L12</f>
        <v>0</v>
      </c>
      <c r="N12" s="59">
        <f>M12*60*60*24/1000</f>
        <v>0</v>
      </c>
      <c r="O12" s="41" t="str">
        <f>IF(B12&gt;2.43,"Danger Reservoir overtopping",IF(B12&gt;1.923,"Warning Weir Drowned",IF(B12&gt;1.356,"Swallow hole filling",IF(B12&gt;1.222,"Tunnel restricted","  "))))</f>
        <v xml:space="preserve">  </v>
      </c>
    </row>
    <row r="13" spans="1:15" ht="14.25" customHeight="1" thickBot="1" x14ac:dyDescent="0.35">
      <c r="A13" s="62">
        <v>17.010000000000002</v>
      </c>
      <c r="B13" s="63">
        <f>A13-16.55</f>
        <v>0.46000000000000085</v>
      </c>
      <c r="C13" s="64">
        <f t="shared" si="0"/>
        <v>0.46000000000000085</v>
      </c>
      <c r="D13" s="65">
        <f t="shared" si="1"/>
        <v>20.237341189427127</v>
      </c>
      <c r="E13" s="62">
        <f t="shared" ref="E13:E42" si="11">IF(B13&gt;1.3515,0,IF(B13&gt;1.222,B13,0))</f>
        <v>0</v>
      </c>
      <c r="F13" s="65">
        <f t="shared" si="3"/>
        <v>0</v>
      </c>
      <c r="G13" s="62">
        <f t="shared" ref="G13:G42" si="12">IF(B13&gt;1.9235,0,IF(B13&gt;1.352,B13,0))</f>
        <v>0</v>
      </c>
      <c r="H13" s="65">
        <f t="shared" si="5"/>
        <v>0</v>
      </c>
      <c r="I13" s="62">
        <f t="shared" ref="I13:I42" si="13">IF(B13&gt;3.5,0,IF(B13&gt;1.924,B13,0))</f>
        <v>0</v>
      </c>
      <c r="J13" s="65">
        <f t="shared" si="7"/>
        <v>0</v>
      </c>
      <c r="K13" s="66">
        <f t="shared" si="8"/>
        <v>0</v>
      </c>
      <c r="L13" s="66">
        <f t="shared" si="9"/>
        <v>0</v>
      </c>
      <c r="M13" s="67">
        <f t="shared" si="10"/>
        <v>20.237341189427127</v>
      </c>
      <c r="N13" s="68">
        <f t="shared" ref="N13:N43" si="14">M13*60*60*24/1000</f>
        <v>1748.5062787665036</v>
      </c>
      <c r="O13" s="54" t="str">
        <f>IF(B13&gt;2.43,"Danger Reservoir overtopping",IF(B13&gt;1.923,"Warning Weir Drowned",IF(B13&gt;1.356,"Swallow hole filling",IF(B13&gt;1.222,"Tunnel restricted","  "))))</f>
        <v xml:space="preserve">  </v>
      </c>
    </row>
    <row r="14" spans="1:15" ht="14.25" customHeight="1" x14ac:dyDescent="0.3">
      <c r="A14" s="48">
        <v>16.650000000000002</v>
      </c>
      <c r="B14" s="49">
        <f t="shared" ref="B14:B43" si="15">A14-16.55</f>
        <v>0.10000000000000142</v>
      </c>
      <c r="C14">
        <f t="shared" si="0"/>
        <v>0.10000000000000142</v>
      </c>
      <c r="D14" s="16">
        <f t="shared" si="1"/>
        <v>2.0512410831674885</v>
      </c>
      <c r="E14" s="8">
        <f t="shared" si="11"/>
        <v>0</v>
      </c>
      <c r="F14" s="16">
        <f t="shared" si="3"/>
        <v>0</v>
      </c>
      <c r="G14" s="8">
        <f t="shared" si="12"/>
        <v>0</v>
      </c>
      <c r="H14" s="16">
        <f t="shared" si="5"/>
        <v>0</v>
      </c>
      <c r="I14" s="8">
        <f t="shared" si="13"/>
        <v>0</v>
      </c>
      <c r="J14" s="16">
        <f t="shared" si="7"/>
        <v>0</v>
      </c>
      <c r="K14" s="18">
        <f t="shared" si="8"/>
        <v>0</v>
      </c>
      <c r="L14" s="18">
        <f t="shared" si="9"/>
        <v>0</v>
      </c>
      <c r="M14" s="58">
        <f t="shared" si="10"/>
        <v>2.0512410831674885</v>
      </c>
      <c r="N14" s="60">
        <f t="shared" si="14"/>
        <v>177.22722958567098</v>
      </c>
      <c r="O14" s="55" t="str">
        <f t="shared" ref="O14:O41" si="16">IF(B14&gt;2.43,"Danger Reservoir overtopping",IF(B14&gt;1.923,"Warning Weir Drowned",IF(B14&gt;1.356,"Swallow hole filling",IF(B14&gt;1.222,"Tunnel restricted","  "))))</f>
        <v xml:space="preserve">  </v>
      </c>
    </row>
    <row r="15" spans="1:15" ht="14.25" customHeight="1" x14ac:dyDescent="0.3">
      <c r="A15" s="8">
        <v>16.750000000000004</v>
      </c>
      <c r="B15" s="49">
        <f t="shared" si="15"/>
        <v>0.20000000000000284</v>
      </c>
      <c r="C15" s="50">
        <f t="shared" si="0"/>
        <v>0.20000000000000284</v>
      </c>
      <c r="D15" s="51">
        <f t="shared" si="1"/>
        <v>5.8017859190246828</v>
      </c>
      <c r="E15" s="48">
        <f t="shared" si="11"/>
        <v>0</v>
      </c>
      <c r="F15" s="51">
        <f t="shared" si="3"/>
        <v>0</v>
      </c>
      <c r="G15" s="48">
        <f t="shared" si="12"/>
        <v>0</v>
      </c>
      <c r="H15" s="51">
        <f t="shared" si="5"/>
        <v>0</v>
      </c>
      <c r="I15" s="48">
        <f t="shared" si="13"/>
        <v>0</v>
      </c>
      <c r="J15" s="51">
        <f t="shared" si="7"/>
        <v>0</v>
      </c>
      <c r="K15" s="52">
        <f t="shared" si="8"/>
        <v>0</v>
      </c>
      <c r="L15" s="52">
        <f t="shared" si="9"/>
        <v>0</v>
      </c>
      <c r="M15" s="57">
        <f t="shared" si="10"/>
        <v>5.8017859190246828</v>
      </c>
      <c r="N15" s="60">
        <f t="shared" si="14"/>
        <v>501.27430340373257</v>
      </c>
      <c r="O15" s="54" t="str">
        <f t="shared" si="16"/>
        <v xml:space="preserve">  </v>
      </c>
    </row>
    <row r="16" spans="1:15" ht="14.25" customHeight="1" x14ac:dyDescent="0.3">
      <c r="A16" s="48">
        <v>16.850000000000005</v>
      </c>
      <c r="B16" s="49">
        <f t="shared" si="15"/>
        <v>0.30000000000000426</v>
      </c>
      <c r="C16">
        <f t="shared" si="0"/>
        <v>0.30000000000000426</v>
      </c>
      <c r="D16" s="16">
        <f t="shared" si="1"/>
        <v>10.658561323856125</v>
      </c>
      <c r="E16" s="8">
        <f t="shared" si="11"/>
        <v>0</v>
      </c>
      <c r="F16" s="16">
        <f t="shared" si="3"/>
        <v>0</v>
      </c>
      <c r="G16" s="8">
        <f t="shared" si="12"/>
        <v>0</v>
      </c>
      <c r="H16" s="16">
        <f t="shared" si="5"/>
        <v>0</v>
      </c>
      <c r="I16" s="8">
        <f t="shared" si="13"/>
        <v>0</v>
      </c>
      <c r="J16" s="16">
        <f t="shared" si="7"/>
        <v>0</v>
      </c>
      <c r="K16" s="18">
        <f t="shared" si="8"/>
        <v>0</v>
      </c>
      <c r="L16" s="18">
        <f t="shared" si="9"/>
        <v>0</v>
      </c>
      <c r="M16" s="58">
        <f t="shared" si="10"/>
        <v>10.658561323856125</v>
      </c>
      <c r="N16" s="60">
        <f t="shared" si="14"/>
        <v>920.89969838116917</v>
      </c>
      <c r="O16" s="55" t="str">
        <f t="shared" si="16"/>
        <v xml:space="preserve">  </v>
      </c>
    </row>
    <row r="17" spans="1:15" ht="14.25" customHeight="1" x14ac:dyDescent="0.3">
      <c r="A17" s="8">
        <v>16.950000000000006</v>
      </c>
      <c r="B17" s="49">
        <f t="shared" si="15"/>
        <v>0.40000000000000568</v>
      </c>
      <c r="C17" s="50">
        <f t="shared" si="0"/>
        <v>0.40000000000000568</v>
      </c>
      <c r="D17" s="51">
        <f t="shared" si="1"/>
        <v>16.409928665339912</v>
      </c>
      <c r="E17" s="48">
        <f t="shared" si="11"/>
        <v>0</v>
      </c>
      <c r="F17" s="51">
        <f t="shared" si="3"/>
        <v>0</v>
      </c>
      <c r="G17" s="48">
        <f t="shared" si="12"/>
        <v>0</v>
      </c>
      <c r="H17" s="51">
        <f t="shared" si="5"/>
        <v>0</v>
      </c>
      <c r="I17" s="48">
        <f t="shared" si="13"/>
        <v>0</v>
      </c>
      <c r="J17" s="51">
        <f t="shared" si="7"/>
        <v>0</v>
      </c>
      <c r="K17" s="52">
        <f t="shared" si="8"/>
        <v>0</v>
      </c>
      <c r="L17" s="52">
        <f t="shared" si="9"/>
        <v>0</v>
      </c>
      <c r="M17" s="57">
        <f t="shared" si="10"/>
        <v>16.409928665339912</v>
      </c>
      <c r="N17" s="60">
        <f t="shared" si="14"/>
        <v>1417.8178366853683</v>
      </c>
      <c r="O17" s="54" t="str">
        <f t="shared" si="16"/>
        <v xml:space="preserve">  </v>
      </c>
    </row>
    <row r="18" spans="1:15" ht="14.25" customHeight="1" x14ac:dyDescent="0.3">
      <c r="A18" s="48">
        <v>17.050000000000008</v>
      </c>
      <c r="B18" s="49">
        <f t="shared" si="15"/>
        <v>0.50000000000000711</v>
      </c>
      <c r="C18">
        <f t="shared" si="0"/>
        <v>0.50000000000000711</v>
      </c>
      <c r="D18" s="16">
        <f t="shared" si="1"/>
        <v>22.933572501014023</v>
      </c>
      <c r="E18" s="8">
        <f t="shared" si="11"/>
        <v>0</v>
      </c>
      <c r="F18" s="16">
        <f t="shared" si="3"/>
        <v>0</v>
      </c>
      <c r="G18" s="8">
        <f t="shared" si="12"/>
        <v>0</v>
      </c>
      <c r="H18" s="16">
        <f t="shared" si="5"/>
        <v>0</v>
      </c>
      <c r="I18" s="8">
        <f t="shared" si="13"/>
        <v>0</v>
      </c>
      <c r="J18" s="16">
        <f t="shared" si="7"/>
        <v>0</v>
      </c>
      <c r="K18" s="18">
        <f t="shared" si="8"/>
        <v>0</v>
      </c>
      <c r="L18" s="18">
        <f t="shared" si="9"/>
        <v>0</v>
      </c>
      <c r="M18" s="58">
        <f t="shared" si="10"/>
        <v>22.933572501014023</v>
      </c>
      <c r="N18" s="60">
        <f t="shared" si="14"/>
        <v>1981.4606640876118</v>
      </c>
      <c r="O18" s="55" t="str">
        <f t="shared" si="16"/>
        <v xml:space="preserve">  </v>
      </c>
    </row>
    <row r="19" spans="1:15" ht="14.25" customHeight="1" x14ac:dyDescent="0.3">
      <c r="A19" s="8">
        <v>17.150000000000009</v>
      </c>
      <c r="B19" s="49">
        <f t="shared" si="15"/>
        <v>0.60000000000000853</v>
      </c>
      <c r="C19" s="50">
        <f t="shared" si="0"/>
        <v>0.60000000000000853</v>
      </c>
      <c r="D19" s="51">
        <f t="shared" si="1"/>
        <v>30.146963959165316</v>
      </c>
      <c r="E19" s="48">
        <f t="shared" si="11"/>
        <v>0</v>
      </c>
      <c r="F19" s="51">
        <f t="shared" si="3"/>
        <v>0</v>
      </c>
      <c r="G19" s="48">
        <f t="shared" si="12"/>
        <v>0</v>
      </c>
      <c r="H19" s="51">
        <f t="shared" si="5"/>
        <v>0</v>
      </c>
      <c r="I19" s="48">
        <f t="shared" si="13"/>
        <v>0</v>
      </c>
      <c r="J19" s="51">
        <f t="shared" si="7"/>
        <v>0</v>
      </c>
      <c r="K19" s="52">
        <f t="shared" si="8"/>
        <v>0</v>
      </c>
      <c r="L19" s="52">
        <f t="shared" si="9"/>
        <v>0</v>
      </c>
      <c r="M19" s="57">
        <f t="shared" si="10"/>
        <v>30.146963959165316</v>
      </c>
      <c r="N19" s="60">
        <f t="shared" si="14"/>
        <v>2604.6976860718833</v>
      </c>
      <c r="O19" s="54" t="str">
        <f t="shared" si="16"/>
        <v xml:space="preserve">  </v>
      </c>
    </row>
    <row r="20" spans="1:15" ht="14.25" customHeight="1" x14ac:dyDescent="0.3">
      <c r="A20" s="48">
        <v>17.250000000000011</v>
      </c>
      <c r="B20" s="49">
        <f t="shared" si="15"/>
        <v>0.70000000000000995</v>
      </c>
      <c r="C20">
        <f t="shared" si="0"/>
        <v>0.70000000000000995</v>
      </c>
      <c r="D20" s="16">
        <f t="shared" si="1"/>
        <v>37.98951649569954</v>
      </c>
      <c r="E20" s="8">
        <f t="shared" si="11"/>
        <v>0</v>
      </c>
      <c r="F20" s="16">
        <f t="shared" si="3"/>
        <v>0</v>
      </c>
      <c r="G20" s="8">
        <f t="shared" si="12"/>
        <v>0</v>
      </c>
      <c r="H20" s="16">
        <f t="shared" si="5"/>
        <v>0</v>
      </c>
      <c r="I20" s="8">
        <f t="shared" si="13"/>
        <v>0</v>
      </c>
      <c r="J20" s="16">
        <f t="shared" si="7"/>
        <v>0</v>
      </c>
      <c r="K20" s="18">
        <f t="shared" si="8"/>
        <v>0</v>
      </c>
      <c r="L20" s="18">
        <f t="shared" si="9"/>
        <v>0</v>
      </c>
      <c r="M20" s="58">
        <f t="shared" si="10"/>
        <v>37.98951649569954</v>
      </c>
      <c r="N20" s="60">
        <f t="shared" si="14"/>
        <v>3282.2942252284402</v>
      </c>
      <c r="O20" s="55" t="str">
        <f t="shared" si="16"/>
        <v xml:space="preserve">  </v>
      </c>
    </row>
    <row r="21" spans="1:15" ht="14.25" customHeight="1" x14ac:dyDescent="0.3">
      <c r="A21" s="8">
        <v>17.350000000000012</v>
      </c>
      <c r="B21" s="49">
        <f t="shared" si="15"/>
        <v>0.80000000000001137</v>
      </c>
      <c r="C21" s="50">
        <f t="shared" si="0"/>
        <v>0.80000000000001137</v>
      </c>
      <c r="D21" s="51">
        <f t="shared" si="1"/>
        <v>46.414287352197441</v>
      </c>
      <c r="E21" s="48">
        <f t="shared" si="11"/>
        <v>0</v>
      </c>
      <c r="F21" s="51">
        <f t="shared" si="3"/>
        <v>0</v>
      </c>
      <c r="G21" s="48">
        <f t="shared" si="12"/>
        <v>0</v>
      </c>
      <c r="H21" s="51">
        <f t="shared" si="5"/>
        <v>0</v>
      </c>
      <c r="I21" s="48">
        <f t="shared" si="13"/>
        <v>0</v>
      </c>
      <c r="J21" s="51">
        <f t="shared" si="7"/>
        <v>0</v>
      </c>
      <c r="K21" s="52">
        <f t="shared" si="8"/>
        <v>0</v>
      </c>
      <c r="L21" s="52">
        <f t="shared" si="9"/>
        <v>0</v>
      </c>
      <c r="M21" s="57">
        <f t="shared" si="10"/>
        <v>46.414287352197441</v>
      </c>
      <c r="N21" s="60">
        <f t="shared" si="14"/>
        <v>4010.1944272298588</v>
      </c>
      <c r="O21" s="54" t="str">
        <f t="shared" si="16"/>
        <v xml:space="preserve">  </v>
      </c>
    </row>
    <row r="22" spans="1:15" ht="14.25" customHeight="1" x14ac:dyDescent="0.3">
      <c r="A22" s="48">
        <v>17.450000000000014</v>
      </c>
      <c r="B22" s="49">
        <f t="shared" si="15"/>
        <v>0.90000000000001279</v>
      </c>
      <c r="C22">
        <f t="shared" si="0"/>
        <v>0.90000000000001279</v>
      </c>
      <c r="D22" s="16">
        <f t="shared" si="1"/>
        <v>55.383509245522205</v>
      </c>
      <c r="E22" s="8">
        <f t="shared" si="11"/>
        <v>0</v>
      </c>
      <c r="F22" s="16">
        <f t="shared" si="3"/>
        <v>0</v>
      </c>
      <c r="G22" s="8">
        <f t="shared" si="12"/>
        <v>0</v>
      </c>
      <c r="H22" s="16">
        <f t="shared" si="5"/>
        <v>0</v>
      </c>
      <c r="I22" s="8">
        <f t="shared" si="13"/>
        <v>0</v>
      </c>
      <c r="J22" s="16">
        <f t="shared" si="7"/>
        <v>0</v>
      </c>
      <c r="K22" s="18">
        <f t="shared" si="8"/>
        <v>0</v>
      </c>
      <c r="L22" s="18">
        <f t="shared" si="9"/>
        <v>0</v>
      </c>
      <c r="M22" s="58">
        <f t="shared" si="10"/>
        <v>55.383509245522205</v>
      </c>
      <c r="N22" s="60">
        <f t="shared" si="14"/>
        <v>4785.1351988131191</v>
      </c>
      <c r="O22" s="55" t="str">
        <f t="shared" si="16"/>
        <v xml:space="preserve">  </v>
      </c>
    </row>
    <row r="23" spans="1:15" ht="14.25" customHeight="1" x14ac:dyDescent="0.3">
      <c r="A23" s="8">
        <v>17.550000000000015</v>
      </c>
      <c r="B23" s="49">
        <f t="shared" si="15"/>
        <v>1.0000000000000142</v>
      </c>
      <c r="C23" s="50">
        <f t="shared" si="0"/>
        <v>1.0000000000000142</v>
      </c>
      <c r="D23" s="51">
        <f t="shared" si="1"/>
        <v>64.865938529201372</v>
      </c>
      <c r="E23" s="48">
        <f t="shared" si="11"/>
        <v>0</v>
      </c>
      <c r="F23" s="51">
        <f t="shared" si="3"/>
        <v>0</v>
      </c>
      <c r="G23" s="48">
        <f t="shared" si="12"/>
        <v>0</v>
      </c>
      <c r="H23" s="51">
        <f t="shared" si="5"/>
        <v>0</v>
      </c>
      <c r="I23" s="48">
        <f t="shared" si="13"/>
        <v>0</v>
      </c>
      <c r="J23" s="51">
        <f t="shared" si="7"/>
        <v>0</v>
      </c>
      <c r="K23" s="52">
        <f t="shared" si="8"/>
        <v>0</v>
      </c>
      <c r="L23" s="52">
        <f t="shared" si="9"/>
        <v>0</v>
      </c>
      <c r="M23" s="57">
        <f t="shared" si="10"/>
        <v>64.865938529201372</v>
      </c>
      <c r="N23" s="60">
        <f t="shared" si="14"/>
        <v>5604.417088922999</v>
      </c>
      <c r="O23" s="54" t="str">
        <f t="shared" si="16"/>
        <v xml:space="preserve">  </v>
      </c>
    </row>
    <row r="24" spans="1:15" ht="14.25" customHeight="1" x14ac:dyDescent="0.3">
      <c r="A24" s="48">
        <v>17.650000000000016</v>
      </c>
      <c r="B24" s="49">
        <f t="shared" si="15"/>
        <v>1.1000000000000156</v>
      </c>
      <c r="C24">
        <f t="shared" si="0"/>
        <v>1.1000000000000156</v>
      </c>
      <c r="D24" s="16">
        <f t="shared" si="1"/>
        <v>74.835167301716325</v>
      </c>
      <c r="E24" s="8">
        <f t="shared" si="11"/>
        <v>0</v>
      </c>
      <c r="F24" s="16">
        <f t="shared" si="3"/>
        <v>0</v>
      </c>
      <c r="G24" s="8">
        <f t="shared" si="12"/>
        <v>0</v>
      </c>
      <c r="H24" s="16">
        <f t="shared" si="5"/>
        <v>0</v>
      </c>
      <c r="I24" s="8">
        <f t="shared" si="13"/>
        <v>0</v>
      </c>
      <c r="J24" s="16">
        <f t="shared" si="7"/>
        <v>0</v>
      </c>
      <c r="K24" s="18">
        <f t="shared" si="8"/>
        <v>0</v>
      </c>
      <c r="L24" s="18">
        <f t="shared" si="9"/>
        <v>0</v>
      </c>
      <c r="M24" s="58">
        <f t="shared" si="10"/>
        <v>74.835167301716325</v>
      </c>
      <c r="N24" s="60">
        <f t="shared" si="14"/>
        <v>6465.7584548682898</v>
      </c>
      <c r="O24" s="55" t="str">
        <f t="shared" si="16"/>
        <v xml:space="preserve">  </v>
      </c>
    </row>
    <row r="25" spans="1:15" ht="14.25" customHeight="1" x14ac:dyDescent="0.3">
      <c r="A25" s="8">
        <v>17.750000000000018</v>
      </c>
      <c r="B25" s="49">
        <f t="shared" si="15"/>
        <v>1.2000000000000171</v>
      </c>
      <c r="C25" s="50">
        <f t="shared" si="0"/>
        <v>1.2000000000000171</v>
      </c>
      <c r="D25" s="51">
        <f t="shared" si="1"/>
        <v>85.268490590848984</v>
      </c>
      <c r="E25" s="48">
        <f t="shared" si="11"/>
        <v>0</v>
      </c>
      <c r="F25" s="51">
        <f t="shared" si="3"/>
        <v>0</v>
      </c>
      <c r="G25" s="48">
        <f t="shared" si="12"/>
        <v>0</v>
      </c>
      <c r="H25" s="51">
        <f t="shared" si="5"/>
        <v>0</v>
      </c>
      <c r="I25" s="48">
        <f t="shared" si="13"/>
        <v>0</v>
      </c>
      <c r="J25" s="51">
        <f t="shared" si="7"/>
        <v>0</v>
      </c>
      <c r="K25" s="52">
        <f t="shared" si="8"/>
        <v>0</v>
      </c>
      <c r="L25" s="52">
        <f t="shared" si="9"/>
        <v>0</v>
      </c>
      <c r="M25" s="57">
        <f t="shared" si="10"/>
        <v>85.268490590848984</v>
      </c>
      <c r="N25" s="60">
        <f t="shared" si="14"/>
        <v>7367.1975870493516</v>
      </c>
      <c r="O25" s="54" t="str">
        <f t="shared" si="16"/>
        <v xml:space="preserve">  </v>
      </c>
    </row>
    <row r="26" spans="1:15" ht="14.25" customHeight="1" x14ac:dyDescent="0.3">
      <c r="A26" s="48">
        <v>17.850000000000019</v>
      </c>
      <c r="B26" s="49">
        <f t="shared" si="15"/>
        <v>1.3000000000000185</v>
      </c>
      <c r="C26">
        <f t="shared" si="0"/>
        <v>0</v>
      </c>
      <c r="D26" s="16">
        <f t="shared" si="1"/>
        <v>0</v>
      </c>
      <c r="E26" s="8">
        <f t="shared" si="11"/>
        <v>1.3000000000000185</v>
      </c>
      <c r="F26" s="16">
        <f t="shared" si="3"/>
        <v>91.631100000001169</v>
      </c>
      <c r="G26" s="8">
        <f t="shared" si="12"/>
        <v>0</v>
      </c>
      <c r="H26" s="16">
        <f t="shared" si="5"/>
        <v>0</v>
      </c>
      <c r="I26" s="8">
        <f t="shared" si="13"/>
        <v>0</v>
      </c>
      <c r="J26" s="16">
        <f t="shared" si="7"/>
        <v>0</v>
      </c>
      <c r="K26" s="18">
        <f t="shared" si="8"/>
        <v>0</v>
      </c>
      <c r="L26" s="18">
        <f t="shared" si="9"/>
        <v>0</v>
      </c>
      <c r="M26" s="58">
        <f t="shared" si="10"/>
        <v>91.631100000001169</v>
      </c>
      <c r="N26" s="60">
        <f t="shared" si="14"/>
        <v>7916.9270400001014</v>
      </c>
      <c r="O26" s="55" t="str">
        <f t="shared" si="16"/>
        <v>Tunnel restricted</v>
      </c>
    </row>
    <row r="27" spans="1:15" ht="14.25" customHeight="1" x14ac:dyDescent="0.3">
      <c r="A27" s="8">
        <v>17.950000000000021</v>
      </c>
      <c r="B27" s="49">
        <f t="shared" si="15"/>
        <v>1.4000000000000199</v>
      </c>
      <c r="C27" s="50">
        <f t="shared" si="0"/>
        <v>0</v>
      </c>
      <c r="D27" s="51">
        <f t="shared" si="1"/>
        <v>0</v>
      </c>
      <c r="E27" s="48">
        <f t="shared" si="11"/>
        <v>0</v>
      </c>
      <c r="F27" s="51">
        <f t="shared" si="3"/>
        <v>0</v>
      </c>
      <c r="G27" s="48">
        <f t="shared" si="12"/>
        <v>1.4000000000000199</v>
      </c>
      <c r="H27" s="51">
        <f t="shared" si="5"/>
        <v>96.816748000000601</v>
      </c>
      <c r="I27" s="48">
        <f t="shared" si="13"/>
        <v>0</v>
      </c>
      <c r="J27" s="51">
        <f t="shared" si="7"/>
        <v>0</v>
      </c>
      <c r="K27" s="52">
        <f t="shared" si="8"/>
        <v>0</v>
      </c>
      <c r="L27" s="52">
        <f t="shared" si="9"/>
        <v>0</v>
      </c>
      <c r="M27" s="57">
        <f t="shared" si="10"/>
        <v>96.816748000000601</v>
      </c>
      <c r="N27" s="60">
        <f t="shared" si="14"/>
        <v>8364.9670272000512</v>
      </c>
      <c r="O27" s="54" t="str">
        <f t="shared" si="16"/>
        <v>Swallow hole filling</v>
      </c>
    </row>
    <row r="28" spans="1:15" ht="14.25" customHeight="1" x14ac:dyDescent="0.3">
      <c r="A28" s="48">
        <v>18.050000000000022</v>
      </c>
      <c r="B28" s="49">
        <f t="shared" si="15"/>
        <v>1.5000000000000213</v>
      </c>
      <c r="C28">
        <f t="shared" si="0"/>
        <v>0</v>
      </c>
      <c r="D28" s="16">
        <f t="shared" si="1"/>
        <v>0</v>
      </c>
      <c r="E28" s="8">
        <f t="shared" si="11"/>
        <v>0</v>
      </c>
      <c r="F28" s="16">
        <f t="shared" si="3"/>
        <v>0</v>
      </c>
      <c r="G28" s="8">
        <f t="shared" si="12"/>
        <v>1.5000000000000213</v>
      </c>
      <c r="H28" s="16">
        <f t="shared" si="5"/>
        <v>99.917050000000685</v>
      </c>
      <c r="I28" s="8">
        <f t="shared" si="13"/>
        <v>0</v>
      </c>
      <c r="J28" s="16">
        <f t="shared" si="7"/>
        <v>0</v>
      </c>
      <c r="K28" s="18">
        <f t="shared" si="8"/>
        <v>0</v>
      </c>
      <c r="L28" s="18">
        <f t="shared" si="9"/>
        <v>0</v>
      </c>
      <c r="M28" s="34">
        <f t="shared" si="10"/>
        <v>99.917050000000685</v>
      </c>
      <c r="N28" s="60">
        <f t="shared" si="14"/>
        <v>8632.8331200000594</v>
      </c>
      <c r="O28" s="55" t="str">
        <f t="shared" si="16"/>
        <v>Swallow hole filling</v>
      </c>
    </row>
    <row r="29" spans="1:15" ht="14.25" customHeight="1" x14ac:dyDescent="0.3">
      <c r="A29" s="8">
        <v>18.150000000000023</v>
      </c>
      <c r="B29" s="49">
        <f t="shared" si="15"/>
        <v>1.6000000000000227</v>
      </c>
      <c r="C29" s="50">
        <f t="shared" si="0"/>
        <v>0</v>
      </c>
      <c r="D29" s="51">
        <f t="shared" si="1"/>
        <v>0</v>
      </c>
      <c r="E29" s="48">
        <f t="shared" si="11"/>
        <v>0</v>
      </c>
      <c r="F29" s="51">
        <f t="shared" si="3"/>
        <v>0</v>
      </c>
      <c r="G29" s="48">
        <f t="shared" si="12"/>
        <v>1.6000000000000227</v>
      </c>
      <c r="H29" s="51">
        <f t="shared" si="5"/>
        <v>103.20532800000078</v>
      </c>
      <c r="I29" s="48">
        <f t="shared" si="13"/>
        <v>0</v>
      </c>
      <c r="J29" s="51">
        <f t="shared" si="7"/>
        <v>0</v>
      </c>
      <c r="K29" s="52">
        <f t="shared" si="8"/>
        <v>0</v>
      </c>
      <c r="L29" s="52">
        <f t="shared" si="9"/>
        <v>0</v>
      </c>
      <c r="M29" s="53">
        <f t="shared" si="10"/>
        <v>103.20532800000078</v>
      </c>
      <c r="N29" s="60">
        <f t="shared" si="14"/>
        <v>8916.9403392000677</v>
      </c>
      <c r="O29" s="54" t="str">
        <f t="shared" si="16"/>
        <v>Swallow hole filling</v>
      </c>
    </row>
    <row r="30" spans="1:15" ht="14.25" customHeight="1" x14ac:dyDescent="0.3">
      <c r="A30" s="48">
        <v>18.250000000000025</v>
      </c>
      <c r="B30" s="49">
        <f t="shared" si="15"/>
        <v>1.7000000000000242</v>
      </c>
      <c r="C30">
        <f t="shared" si="0"/>
        <v>0</v>
      </c>
      <c r="D30" s="16">
        <f t="shared" si="1"/>
        <v>0</v>
      </c>
      <c r="E30" s="8">
        <f t="shared" si="11"/>
        <v>0</v>
      </c>
      <c r="F30" s="16">
        <f t="shared" si="3"/>
        <v>0</v>
      </c>
      <c r="G30" s="8">
        <f t="shared" si="12"/>
        <v>1.7000000000000242</v>
      </c>
      <c r="H30" s="16">
        <f t="shared" si="5"/>
        <v>106.68158200000087</v>
      </c>
      <c r="I30" s="8">
        <f t="shared" si="13"/>
        <v>0</v>
      </c>
      <c r="J30" s="16">
        <f t="shared" si="7"/>
        <v>0</v>
      </c>
      <c r="K30" s="18">
        <f t="shared" si="8"/>
        <v>0</v>
      </c>
      <c r="L30" s="18">
        <f t="shared" si="9"/>
        <v>0</v>
      </c>
      <c r="M30" s="34">
        <f t="shared" si="10"/>
        <v>106.68158200000087</v>
      </c>
      <c r="N30" s="60">
        <f t="shared" si="14"/>
        <v>9217.2886848000762</v>
      </c>
      <c r="O30" s="55" t="str">
        <f t="shared" si="16"/>
        <v>Swallow hole filling</v>
      </c>
    </row>
    <row r="31" spans="1:15" ht="14.25" customHeight="1" x14ac:dyDescent="0.3">
      <c r="A31" s="8">
        <v>18.350000000000026</v>
      </c>
      <c r="B31" s="49">
        <f t="shared" si="15"/>
        <v>1.8000000000000256</v>
      </c>
      <c r="C31" s="50">
        <f t="shared" si="0"/>
        <v>0</v>
      </c>
      <c r="D31" s="51">
        <f t="shared" si="1"/>
        <v>0</v>
      </c>
      <c r="E31" s="48">
        <f t="shared" si="11"/>
        <v>0</v>
      </c>
      <c r="F31" s="51">
        <f t="shared" si="3"/>
        <v>0</v>
      </c>
      <c r="G31" s="48">
        <f t="shared" si="12"/>
        <v>1.8000000000000256</v>
      </c>
      <c r="H31" s="51">
        <f t="shared" si="5"/>
        <v>110.34581200000096</v>
      </c>
      <c r="I31" s="48">
        <f t="shared" si="13"/>
        <v>0</v>
      </c>
      <c r="J31" s="51">
        <f t="shared" si="7"/>
        <v>0</v>
      </c>
      <c r="K31" s="52">
        <f t="shared" si="8"/>
        <v>0</v>
      </c>
      <c r="L31" s="52">
        <f t="shared" si="9"/>
        <v>0</v>
      </c>
      <c r="M31" s="53">
        <f t="shared" si="10"/>
        <v>110.34581200000096</v>
      </c>
      <c r="N31" s="60">
        <f t="shared" si="14"/>
        <v>9533.8781568000832</v>
      </c>
      <c r="O31" s="54" t="str">
        <f t="shared" si="16"/>
        <v>Swallow hole filling</v>
      </c>
    </row>
    <row r="32" spans="1:15" ht="14.25" customHeight="1" x14ac:dyDescent="0.3">
      <c r="A32" s="48">
        <v>18.450000000000028</v>
      </c>
      <c r="B32" s="49">
        <f t="shared" si="15"/>
        <v>1.900000000000027</v>
      </c>
      <c r="C32">
        <f t="shared" si="0"/>
        <v>0</v>
      </c>
      <c r="D32" s="16">
        <f t="shared" si="1"/>
        <v>0</v>
      </c>
      <c r="E32" s="8">
        <f t="shared" si="11"/>
        <v>0</v>
      </c>
      <c r="F32" s="16">
        <f t="shared" si="3"/>
        <v>0</v>
      </c>
      <c r="G32" s="8">
        <f t="shared" si="12"/>
        <v>1.900000000000027</v>
      </c>
      <c r="H32" s="16">
        <f t="shared" si="5"/>
        <v>114.19801800000107</v>
      </c>
      <c r="I32" s="8">
        <f t="shared" si="13"/>
        <v>0</v>
      </c>
      <c r="J32" s="16">
        <f t="shared" si="7"/>
        <v>0</v>
      </c>
      <c r="K32" s="18">
        <f t="shared" si="8"/>
        <v>0</v>
      </c>
      <c r="L32" s="18">
        <f t="shared" si="9"/>
        <v>0</v>
      </c>
      <c r="M32" s="34">
        <f t="shared" si="10"/>
        <v>114.19801800000107</v>
      </c>
      <c r="N32" s="60">
        <f t="shared" si="14"/>
        <v>9866.7087552000939</v>
      </c>
      <c r="O32" s="55" t="str">
        <f t="shared" si="16"/>
        <v>Swallow hole filling</v>
      </c>
    </row>
    <row r="33" spans="1:15" ht="14.25" customHeight="1" x14ac:dyDescent="0.3">
      <c r="A33" s="8">
        <v>18.550000000000029</v>
      </c>
      <c r="B33" s="49">
        <f t="shared" si="15"/>
        <v>2.0000000000000284</v>
      </c>
      <c r="C33" s="50">
        <f t="shared" si="0"/>
        <v>0</v>
      </c>
      <c r="D33" s="51">
        <f t="shared" si="1"/>
        <v>0</v>
      </c>
      <c r="E33" s="48">
        <f t="shared" si="11"/>
        <v>0</v>
      </c>
      <c r="F33" s="51">
        <f t="shared" si="3"/>
        <v>0</v>
      </c>
      <c r="G33" s="48">
        <f t="shared" si="12"/>
        <v>0</v>
      </c>
      <c r="H33" s="51">
        <f t="shared" si="5"/>
        <v>0</v>
      </c>
      <c r="I33" s="48">
        <f t="shared" si="13"/>
        <v>2.0000000000000284</v>
      </c>
      <c r="J33" s="51">
        <f t="shared" si="7"/>
        <v>115.73920000000017</v>
      </c>
      <c r="K33" s="52">
        <f t="shared" si="8"/>
        <v>0</v>
      </c>
      <c r="L33" s="52">
        <f t="shared" si="9"/>
        <v>0</v>
      </c>
      <c r="M33" s="53">
        <f t="shared" si="10"/>
        <v>115.73920000000017</v>
      </c>
      <c r="N33" s="60">
        <f t="shared" si="14"/>
        <v>9999.8668800000141</v>
      </c>
      <c r="O33" s="54" t="str">
        <f t="shared" si="16"/>
        <v>Warning Weir Drowned</v>
      </c>
    </row>
    <row r="34" spans="1:15" ht="14.25" customHeight="1" x14ac:dyDescent="0.3">
      <c r="A34" s="48">
        <v>18.650000000000031</v>
      </c>
      <c r="B34" s="49">
        <f t="shared" si="15"/>
        <v>2.1000000000000298</v>
      </c>
      <c r="C34">
        <f t="shared" si="0"/>
        <v>0</v>
      </c>
      <c r="D34" s="16">
        <f t="shared" si="1"/>
        <v>0</v>
      </c>
      <c r="E34" s="8">
        <f t="shared" si="11"/>
        <v>0</v>
      </c>
      <c r="F34" s="16">
        <f t="shared" si="3"/>
        <v>0</v>
      </c>
      <c r="G34" s="8">
        <f t="shared" si="12"/>
        <v>0</v>
      </c>
      <c r="H34" s="16">
        <f t="shared" si="5"/>
        <v>0</v>
      </c>
      <c r="I34" s="8">
        <f t="shared" si="13"/>
        <v>2.1000000000000298</v>
      </c>
      <c r="J34" s="16">
        <f t="shared" si="7"/>
        <v>116.34276200000018</v>
      </c>
      <c r="K34" s="18">
        <f t="shared" si="8"/>
        <v>0</v>
      </c>
      <c r="L34" s="18">
        <f t="shared" si="9"/>
        <v>0</v>
      </c>
      <c r="M34" s="34">
        <f t="shared" si="10"/>
        <v>116.34276200000018</v>
      </c>
      <c r="N34" s="60">
        <f t="shared" si="14"/>
        <v>10052.014636800015</v>
      </c>
      <c r="O34" s="55" t="str">
        <f t="shared" si="16"/>
        <v>Warning Weir Drowned</v>
      </c>
    </row>
    <row r="35" spans="1:15" ht="14.25" customHeight="1" x14ac:dyDescent="0.3">
      <c r="A35" s="8">
        <v>18.750000000000032</v>
      </c>
      <c r="B35" s="49">
        <f t="shared" si="15"/>
        <v>2.2000000000000313</v>
      </c>
      <c r="C35" s="50">
        <f t="shared" si="0"/>
        <v>0</v>
      </c>
      <c r="D35" s="51">
        <f t="shared" si="1"/>
        <v>0</v>
      </c>
      <c r="E35" s="48">
        <f t="shared" si="11"/>
        <v>0</v>
      </c>
      <c r="F35" s="51">
        <f t="shared" si="3"/>
        <v>0</v>
      </c>
      <c r="G35" s="48">
        <f t="shared" si="12"/>
        <v>0</v>
      </c>
      <c r="H35" s="51">
        <f t="shared" si="5"/>
        <v>0</v>
      </c>
      <c r="I35" s="48">
        <f t="shared" si="13"/>
        <v>2.2000000000000313</v>
      </c>
      <c r="J35" s="51">
        <f t="shared" si="7"/>
        <v>116.94004800000017</v>
      </c>
      <c r="K35" s="52">
        <f t="shared" si="8"/>
        <v>0</v>
      </c>
      <c r="L35" s="52">
        <f t="shared" si="9"/>
        <v>0</v>
      </c>
      <c r="M35" s="53">
        <f t="shared" si="10"/>
        <v>116.94004800000017</v>
      </c>
      <c r="N35" s="60">
        <f t="shared" si="14"/>
        <v>10103.620147200014</v>
      </c>
      <c r="O35" s="54" t="str">
        <f t="shared" si="16"/>
        <v>Warning Weir Drowned</v>
      </c>
    </row>
    <row r="36" spans="1:15" ht="14.25" customHeight="1" x14ac:dyDescent="0.3">
      <c r="A36" s="48">
        <v>18.850000000000033</v>
      </c>
      <c r="B36" s="49">
        <f t="shared" si="15"/>
        <v>2.3000000000000327</v>
      </c>
      <c r="C36">
        <f t="shared" si="0"/>
        <v>0</v>
      </c>
      <c r="D36" s="16">
        <f t="shared" si="1"/>
        <v>0</v>
      </c>
      <c r="E36" s="8">
        <f t="shared" si="11"/>
        <v>0</v>
      </c>
      <c r="F36" s="16">
        <f t="shared" si="3"/>
        <v>0</v>
      </c>
      <c r="G36" s="8">
        <f t="shared" si="12"/>
        <v>0</v>
      </c>
      <c r="H36" s="16">
        <f t="shared" si="5"/>
        <v>0</v>
      </c>
      <c r="I36" s="8">
        <f t="shared" si="13"/>
        <v>2.3000000000000327</v>
      </c>
      <c r="J36" s="16">
        <f t="shared" si="7"/>
        <v>117.53105800000019</v>
      </c>
      <c r="K36" s="18">
        <f t="shared" si="8"/>
        <v>0</v>
      </c>
      <c r="L36" s="18">
        <f t="shared" si="9"/>
        <v>0</v>
      </c>
      <c r="M36" s="34">
        <f t="shared" si="10"/>
        <v>117.53105800000019</v>
      </c>
      <c r="N36" s="60">
        <f t="shared" si="14"/>
        <v>10154.683411200014</v>
      </c>
      <c r="O36" s="55" t="str">
        <f t="shared" si="16"/>
        <v>Warning Weir Drowned</v>
      </c>
    </row>
    <row r="37" spans="1:15" ht="14.25" customHeight="1" x14ac:dyDescent="0.3">
      <c r="A37" s="8">
        <v>18.950000000000035</v>
      </c>
      <c r="B37" s="49">
        <f t="shared" si="15"/>
        <v>2.4000000000000341</v>
      </c>
      <c r="C37" s="50">
        <f t="shared" si="0"/>
        <v>0</v>
      </c>
      <c r="D37" s="51">
        <f t="shared" si="1"/>
        <v>0</v>
      </c>
      <c r="E37" s="48">
        <f t="shared" si="11"/>
        <v>0</v>
      </c>
      <c r="F37" s="51">
        <f t="shared" si="3"/>
        <v>0</v>
      </c>
      <c r="G37" s="48">
        <f t="shared" si="12"/>
        <v>0</v>
      </c>
      <c r="H37" s="51">
        <f t="shared" si="5"/>
        <v>0</v>
      </c>
      <c r="I37" s="48">
        <f t="shared" si="13"/>
        <v>2.4000000000000341</v>
      </c>
      <c r="J37" s="51">
        <f t="shared" si="7"/>
        <v>118.1157920000002</v>
      </c>
      <c r="K37" s="52">
        <f t="shared" si="8"/>
        <v>0</v>
      </c>
      <c r="L37" s="52">
        <f t="shared" si="9"/>
        <v>0</v>
      </c>
      <c r="M37" s="53">
        <f t="shared" si="10"/>
        <v>118.1157920000002</v>
      </c>
      <c r="N37" s="60">
        <f t="shared" si="14"/>
        <v>10205.204428800016</v>
      </c>
      <c r="O37" s="54" t="str">
        <f t="shared" si="16"/>
        <v>Warning Weir Drowned</v>
      </c>
    </row>
    <row r="38" spans="1:15" ht="14.25" customHeight="1" x14ac:dyDescent="0.3">
      <c r="A38" s="48">
        <v>19.050000000000036</v>
      </c>
      <c r="B38" s="49">
        <f t="shared" si="15"/>
        <v>2.5000000000000355</v>
      </c>
      <c r="C38">
        <f t="shared" si="0"/>
        <v>0</v>
      </c>
      <c r="D38" s="16">
        <f t="shared" si="1"/>
        <v>0</v>
      </c>
      <c r="E38" s="8">
        <f t="shared" si="11"/>
        <v>0</v>
      </c>
      <c r="F38" s="16">
        <f t="shared" si="3"/>
        <v>0</v>
      </c>
      <c r="G38" s="8">
        <f t="shared" si="12"/>
        <v>0</v>
      </c>
      <c r="H38" s="16">
        <f t="shared" si="5"/>
        <v>0</v>
      </c>
      <c r="I38" s="8">
        <f t="shared" si="13"/>
        <v>2.5000000000000355</v>
      </c>
      <c r="J38" s="16">
        <f t="shared" si="7"/>
        <v>118.6942500000002</v>
      </c>
      <c r="K38" s="18">
        <f t="shared" si="8"/>
        <v>7.0000000000035367E-2</v>
      </c>
      <c r="L38" s="18">
        <f t="shared" si="9"/>
        <v>12.622357060228634</v>
      </c>
      <c r="M38" s="34">
        <f t="shared" si="10"/>
        <v>131.31660706022882</v>
      </c>
      <c r="N38" s="60">
        <f t="shared" si="14"/>
        <v>11345.75485000377</v>
      </c>
      <c r="O38" s="55" t="str">
        <f t="shared" si="16"/>
        <v>Danger Reservoir overtopping</v>
      </c>
    </row>
    <row r="39" spans="1:15" ht="14.25" customHeight="1" x14ac:dyDescent="0.3">
      <c r="A39" s="8">
        <v>19.150000000000038</v>
      </c>
      <c r="B39" s="49">
        <f t="shared" si="15"/>
        <v>2.6000000000000369</v>
      </c>
      <c r="C39" s="50">
        <f t="shared" si="0"/>
        <v>0</v>
      </c>
      <c r="D39" s="51">
        <f t="shared" si="1"/>
        <v>0</v>
      </c>
      <c r="E39" s="48">
        <f t="shared" si="11"/>
        <v>0</v>
      </c>
      <c r="F39" s="51">
        <f t="shared" si="3"/>
        <v>0</v>
      </c>
      <c r="G39" s="48">
        <f t="shared" si="12"/>
        <v>0</v>
      </c>
      <c r="H39" s="51">
        <f t="shared" si="5"/>
        <v>0</v>
      </c>
      <c r="I39" s="48">
        <f t="shared" si="13"/>
        <v>2.6000000000000369</v>
      </c>
      <c r="J39" s="51">
        <f t="shared" si="7"/>
        <v>119.26643200000021</v>
      </c>
      <c r="K39" s="52">
        <f t="shared" si="8"/>
        <v>0.17000000000003679</v>
      </c>
      <c r="L39" s="52">
        <f t="shared" si="9"/>
        <v>47.771269580162048</v>
      </c>
      <c r="M39" s="53">
        <f t="shared" si="10"/>
        <v>167.03770158016226</v>
      </c>
      <c r="N39" s="60">
        <f t="shared" si="14"/>
        <v>14432.05741652602</v>
      </c>
      <c r="O39" s="54" t="str">
        <f t="shared" si="16"/>
        <v>Danger Reservoir overtopping</v>
      </c>
    </row>
    <row r="40" spans="1:15" ht="14.25" customHeight="1" x14ac:dyDescent="0.3">
      <c r="A40" s="48">
        <v>19.250000000000039</v>
      </c>
      <c r="B40" s="49">
        <f t="shared" si="15"/>
        <v>2.7000000000000384</v>
      </c>
      <c r="C40">
        <f t="shared" si="0"/>
        <v>0</v>
      </c>
      <c r="D40" s="16">
        <f t="shared" si="1"/>
        <v>0</v>
      </c>
      <c r="E40" s="8">
        <f t="shared" si="11"/>
        <v>0</v>
      </c>
      <c r="F40" s="16">
        <f t="shared" si="3"/>
        <v>0</v>
      </c>
      <c r="G40" s="8">
        <f t="shared" si="12"/>
        <v>0</v>
      </c>
      <c r="H40" s="16">
        <f t="shared" si="5"/>
        <v>0</v>
      </c>
      <c r="I40" s="8">
        <f t="shared" si="13"/>
        <v>2.7000000000000384</v>
      </c>
      <c r="J40" s="16">
        <f t="shared" si="7"/>
        <v>119.83233800000021</v>
      </c>
      <c r="K40" s="18">
        <f t="shared" si="8"/>
        <v>0.27000000000003821</v>
      </c>
      <c r="L40" s="18">
        <f t="shared" si="9"/>
        <v>95.617866139904919</v>
      </c>
      <c r="M40" s="34">
        <f t="shared" si="10"/>
        <v>215.45020413990511</v>
      </c>
      <c r="N40" s="60">
        <f t="shared" si="14"/>
        <v>18614.897637687802</v>
      </c>
      <c r="O40" s="55" t="str">
        <f t="shared" si="16"/>
        <v>Danger Reservoir overtopping</v>
      </c>
    </row>
    <row r="41" spans="1:15" ht="14.25" customHeight="1" x14ac:dyDescent="0.3">
      <c r="A41" s="8">
        <v>19.350000000000041</v>
      </c>
      <c r="B41" s="49">
        <f t="shared" si="15"/>
        <v>2.8000000000000398</v>
      </c>
      <c r="C41" s="50">
        <f t="shared" si="0"/>
        <v>0</v>
      </c>
      <c r="D41" s="51">
        <f t="shared" si="1"/>
        <v>0</v>
      </c>
      <c r="E41" s="48">
        <f t="shared" si="11"/>
        <v>0</v>
      </c>
      <c r="F41" s="51">
        <f t="shared" si="3"/>
        <v>0</v>
      </c>
      <c r="G41" s="48">
        <f t="shared" si="12"/>
        <v>0</v>
      </c>
      <c r="H41" s="51">
        <f t="shared" si="5"/>
        <v>0</v>
      </c>
      <c r="I41" s="48">
        <f t="shared" si="13"/>
        <v>2.8000000000000398</v>
      </c>
      <c r="J41" s="51">
        <f t="shared" si="7"/>
        <v>120.39196800000022</v>
      </c>
      <c r="K41" s="52">
        <f t="shared" si="8"/>
        <v>0.37000000000003963</v>
      </c>
      <c r="L41" s="52">
        <f t="shared" si="9"/>
        <v>153.38962559158233</v>
      </c>
      <c r="M41" s="53">
        <f t="shared" si="10"/>
        <v>273.78159359158258</v>
      </c>
      <c r="N41" s="60">
        <f t="shared" si="14"/>
        <v>23654.729686312734</v>
      </c>
      <c r="O41" s="54" t="str">
        <f t="shared" si="16"/>
        <v>Danger Reservoir overtopping</v>
      </c>
    </row>
    <row r="42" spans="1:15" ht="14.25" customHeight="1" x14ac:dyDescent="0.3">
      <c r="A42" s="48">
        <v>19.450000000000042</v>
      </c>
      <c r="B42" s="49">
        <f t="shared" si="15"/>
        <v>2.9000000000000412</v>
      </c>
      <c r="C42" s="73">
        <f t="shared" si="0"/>
        <v>0</v>
      </c>
      <c r="D42" s="16">
        <f t="shared" si="1"/>
        <v>0</v>
      </c>
      <c r="E42" s="8">
        <f t="shared" si="11"/>
        <v>0</v>
      </c>
      <c r="F42" s="16">
        <f t="shared" si="3"/>
        <v>0</v>
      </c>
      <c r="G42" s="8">
        <f t="shared" si="12"/>
        <v>0</v>
      </c>
      <c r="H42" s="16">
        <f t="shared" si="5"/>
        <v>0</v>
      </c>
      <c r="I42" s="8">
        <f t="shared" si="13"/>
        <v>2.9000000000000412</v>
      </c>
      <c r="J42" s="16">
        <f t="shared" si="7"/>
        <v>120.94532200000022</v>
      </c>
      <c r="K42" s="80">
        <f t="shared" si="8"/>
        <v>0.47000000000004105</v>
      </c>
      <c r="L42" s="80">
        <f t="shared" si="9"/>
        <v>219.60397058581782</v>
      </c>
      <c r="M42" s="34">
        <f t="shared" si="10"/>
        <v>340.54929258581802</v>
      </c>
      <c r="N42" s="60">
        <f t="shared" si="14"/>
        <v>29423.458879414677</v>
      </c>
      <c r="O42" s="84" t="str">
        <f>IF(B42&gt;2.43,"Danger Reservoir overtopping",IF(B42&gt;1.923,"Warning Weir Drowned",IF(B42&gt;1.356,"Swallow hole filling",IF(B42&gt;1.222,"Tunnel restricted","  "))))</f>
        <v>Danger Reservoir overtopping</v>
      </c>
    </row>
    <row r="43" spans="1:15" ht="14.25" customHeight="1" thickBot="1" x14ac:dyDescent="0.35">
      <c r="A43" s="10">
        <v>19.550000000000043</v>
      </c>
      <c r="B43" s="12">
        <f t="shared" si="15"/>
        <v>3.0000000000000426</v>
      </c>
      <c r="C43" s="10">
        <f t="shared" ref="C43" si="17">IF(B43&gt;1.2215,0,IF(B43&gt;0,B43,0))</f>
        <v>0</v>
      </c>
      <c r="D43" s="17">
        <f t="shared" ref="D43" si="18">(POWER(C43,1.5)*0.73*3.132092*28.37)</f>
        <v>0</v>
      </c>
      <c r="E43" s="10">
        <f t="shared" ref="E43" si="19">IF(B43&gt;1.3515,0,IF(B43&gt;1.222,B43,0))</f>
        <v>0</v>
      </c>
      <c r="F43" s="17">
        <f t="shared" ref="F43" si="20">IF(E43&gt;0,(((POWER(E43,2)*149.89)-(E43*328.01)+264.73)),0)</f>
        <v>0</v>
      </c>
      <c r="G43" s="10">
        <f t="shared" ref="G43" si="21">IF(B43&gt;1.9235,0,IF(B43&gt;1.352,B43,0))</f>
        <v>0</v>
      </c>
      <c r="H43" s="17">
        <f t="shared" ref="H43" si="22">IF(G43&gt;0,((POWER(G43,2))*(9.3988)+(3.7465*G43)+73.15),0)</f>
        <v>0</v>
      </c>
      <c r="I43" s="10">
        <f t="shared" ref="I43" si="23">IF(B43&gt;3.5,0,IF(B43&gt;1.924,B43,0))</f>
        <v>3.0000000000000426</v>
      </c>
      <c r="J43" s="17">
        <f t="shared" ref="J43" si="24">IF(I43&gt;0,(((POWER(I43,2))*(-0.3138))+(7.3222*I43)+102.35),0)</f>
        <v>121.49240000000023</v>
      </c>
      <c r="K43" s="83">
        <f t="shared" ref="K43" si="25">IF(B43&gt;2.44,(B43-2.43),0)</f>
        <v>0.57000000000004247</v>
      </c>
      <c r="L43" s="17">
        <f t="shared" ref="L43" si="26">(POWER(K43,1.5)*0.8*3.132092*272)</f>
        <v>293.29569253019497</v>
      </c>
      <c r="M43" s="61">
        <f t="shared" ref="M43" si="27">D43+F43+H43+J43+L43</f>
        <v>414.78809253019517</v>
      </c>
      <c r="N43" s="61">
        <f t="shared" si="14"/>
        <v>35837.691194608866</v>
      </c>
      <c r="O43" s="85" t="str">
        <f>IF(B43&gt;2.43,"Danger Reservoir overtopping",IF(B43&gt;1.923,"Warning Weir Drowned",IF(B43&gt;1.356,"Swallow hole filling",IF(B43&gt;1.222,"Tunnel restricted","  "))))</f>
        <v>Danger Reservoir overtopping</v>
      </c>
    </row>
    <row r="44" spans="1:15" x14ac:dyDescent="0.3">
      <c r="A44" s="73"/>
      <c r="B44" s="73"/>
      <c r="C44" s="73"/>
      <c r="D44" s="80"/>
      <c r="E44" s="73"/>
      <c r="F44" s="80"/>
      <c r="G44" s="73"/>
      <c r="H44" s="80"/>
      <c r="I44" s="73"/>
      <c r="J44" s="80"/>
      <c r="K44" s="80"/>
      <c r="L44" s="80"/>
      <c r="M44" s="81"/>
      <c r="N44" s="81"/>
      <c r="O44" s="82"/>
    </row>
    <row r="45" spans="1:15" x14ac:dyDescent="0.3">
      <c r="A45" s="73"/>
      <c r="B45" s="73"/>
      <c r="C45" s="73"/>
      <c r="D45" s="80"/>
      <c r="E45" s="73"/>
      <c r="F45" s="80"/>
      <c r="G45" s="73"/>
      <c r="H45" s="80"/>
      <c r="I45" s="73"/>
      <c r="J45" s="80"/>
      <c r="K45" s="80"/>
      <c r="L45" s="80"/>
      <c r="M45" s="81"/>
      <c r="N45" s="81"/>
      <c r="O45" s="82"/>
    </row>
    <row r="46" spans="1:15" x14ac:dyDescent="0.3">
      <c r="A46" s="73"/>
      <c r="B46" s="73"/>
      <c r="C46" s="73"/>
      <c r="D46" s="80"/>
      <c r="E46" s="73"/>
      <c r="F46" s="80"/>
      <c r="G46" s="73"/>
      <c r="H46" s="80"/>
      <c r="I46" s="73"/>
      <c r="J46" s="80"/>
      <c r="K46" s="80"/>
      <c r="L46" s="80"/>
      <c r="M46" s="81"/>
      <c r="N46" s="81"/>
      <c r="O46" s="82"/>
    </row>
    <row r="47" spans="1:15" x14ac:dyDescent="0.3">
      <c r="A47" s="73"/>
      <c r="B47" s="73"/>
      <c r="C47" s="73"/>
      <c r="D47" s="80"/>
      <c r="E47" s="73"/>
      <c r="F47" s="80"/>
      <c r="G47" s="73"/>
      <c r="H47" s="80"/>
      <c r="I47" s="73"/>
      <c r="J47" s="80"/>
      <c r="K47" s="80"/>
      <c r="L47" s="80"/>
      <c r="M47" s="81"/>
      <c r="N47" s="81"/>
      <c r="O47" s="82"/>
    </row>
    <row r="51" spans="2:3" ht="15" thickBot="1" x14ac:dyDescent="0.35"/>
    <row r="52" spans="2:3" ht="43.2" x14ac:dyDescent="0.3">
      <c r="B52" s="14" t="s">
        <v>3</v>
      </c>
      <c r="C52" s="15" t="s">
        <v>2</v>
      </c>
    </row>
    <row r="53" spans="2:3" x14ac:dyDescent="0.3">
      <c r="B53" s="8">
        <v>0</v>
      </c>
      <c r="C53" s="9">
        <v>0</v>
      </c>
    </row>
    <row r="54" spans="2:3" x14ac:dyDescent="0.3">
      <c r="B54" s="8">
        <v>3.8</v>
      </c>
      <c r="C54" s="9">
        <v>0.18299999999999272</v>
      </c>
    </row>
    <row r="55" spans="2:3" x14ac:dyDescent="0.3">
      <c r="B55" s="8">
        <v>9.5</v>
      </c>
      <c r="C55" s="9">
        <v>0.28999999999999204</v>
      </c>
    </row>
    <row r="56" spans="2:3" x14ac:dyDescent="0.3">
      <c r="B56" s="8">
        <v>19.3</v>
      </c>
      <c r="C56" s="9">
        <v>0.4269999999999925</v>
      </c>
    </row>
    <row r="57" spans="2:3" x14ac:dyDescent="0.3">
      <c r="B57" s="8">
        <v>22.2</v>
      </c>
      <c r="C57" s="9">
        <v>0.47199999999997999</v>
      </c>
    </row>
    <row r="58" spans="2:3" x14ac:dyDescent="0.3">
      <c r="B58" s="8">
        <v>31.2</v>
      </c>
      <c r="C58" s="9">
        <v>0.60200000000000387</v>
      </c>
    </row>
    <row r="59" spans="2:3" x14ac:dyDescent="0.3">
      <c r="B59" s="8">
        <v>39.6</v>
      </c>
      <c r="C59" s="9">
        <v>0.70099999999999341</v>
      </c>
    </row>
    <row r="60" spans="2:3" x14ac:dyDescent="0.3">
      <c r="B60" s="8">
        <v>59.1</v>
      </c>
      <c r="C60" s="9">
        <v>0.95199999999999818</v>
      </c>
    </row>
    <row r="61" spans="2:3" x14ac:dyDescent="0.3">
      <c r="B61" s="8">
        <v>70.7</v>
      </c>
      <c r="C61" s="9">
        <v>1.0619999999999834</v>
      </c>
    </row>
    <row r="62" spans="2:3" x14ac:dyDescent="0.3">
      <c r="B62" s="8">
        <v>82.5</v>
      </c>
      <c r="C62" s="9">
        <v>1.1759999999999877</v>
      </c>
    </row>
    <row r="63" spans="2:3" x14ac:dyDescent="0.3">
      <c r="B63" s="42">
        <v>88.2</v>
      </c>
      <c r="C63" s="9">
        <v>1.2339999999999804</v>
      </c>
    </row>
    <row r="64" spans="2:3" x14ac:dyDescent="0.3">
      <c r="B64" s="43">
        <v>90.9</v>
      </c>
      <c r="C64" s="44">
        <v>1.2879999999999825</v>
      </c>
    </row>
    <row r="65" spans="2:3" x14ac:dyDescent="0.3">
      <c r="B65" s="42">
        <v>94.4</v>
      </c>
      <c r="C65" s="9">
        <v>1.3409999999999798</v>
      </c>
    </row>
    <row r="66" spans="2:3" x14ac:dyDescent="0.3">
      <c r="B66" s="45">
        <v>98.1</v>
      </c>
      <c r="C66" s="9">
        <v>1.4399999999999977</v>
      </c>
    </row>
    <row r="67" spans="2:3" x14ac:dyDescent="0.3">
      <c r="B67" s="45">
        <v>100.1</v>
      </c>
      <c r="C67" s="9">
        <v>1.5089999999999861</v>
      </c>
    </row>
    <row r="68" spans="2:3" x14ac:dyDescent="0.3">
      <c r="B68" s="45">
        <v>106.2</v>
      </c>
      <c r="C68" s="9">
        <v>1.6850000000000023</v>
      </c>
    </row>
    <row r="69" spans="2:3" x14ac:dyDescent="0.3">
      <c r="B69" s="45">
        <v>115.3</v>
      </c>
      <c r="C69" s="9">
        <v>1.9279999999999973</v>
      </c>
    </row>
    <row r="70" spans="2:3" x14ac:dyDescent="0.3">
      <c r="B70" s="46">
        <v>117.8</v>
      </c>
      <c r="C70" s="9">
        <v>2.3460000000000036</v>
      </c>
    </row>
    <row r="71" spans="2:3" ht="15" thickBot="1" x14ac:dyDescent="0.35">
      <c r="B71" s="47">
        <v>120</v>
      </c>
      <c r="C71" s="12">
        <v>2.7299999999999898</v>
      </c>
    </row>
  </sheetData>
  <mergeCells count="1">
    <mergeCell ref="O2:O5"/>
  </mergeCells>
  <pageMargins left="0.25" right="0.25" top="0.75" bottom="0.75" header="0.3" footer="0.3"/>
  <pageSetup paperSize="9" scale="72" fitToHeight="0" orientation="landscape" r:id="rId1"/>
  <rowBreaks count="1" manualBreakCount="1">
    <brk id="75" max="16383" man="1"/>
  </rowBreaks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Alistair</dc:creator>
  <cp:lastModifiedBy>Alistair</cp:lastModifiedBy>
  <cp:lastPrinted>2020-10-19T15:12:12Z</cp:lastPrinted>
  <dcterms:created xsi:type="dcterms:W3CDTF">2017-10-23T20:47:57Z</dcterms:created>
  <dcterms:modified xsi:type="dcterms:W3CDTF">2020-10-19T15:16:51Z</dcterms:modified>
</cp:coreProperties>
</file>